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5955" windowHeight="616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Depreciação'!$A$9</definedName>
    <definedName name="AbaRemun">'6.Remuneração de capital'!$B$9</definedName>
    <definedName name="_xlnm.Print_Area" localSheetId="0">'1. Coleta Domiciliar'!$A$1:$F$306</definedName>
    <definedName name="_xlnm.Print_Area" localSheetId="1">'2.Encargos Sociais'!$A$7:$C$44</definedName>
    <definedName name="_xlnm.Print_Titles" localSheetId="0">'1. Coleta Domiciliar'!$5:$7</definedName>
  </definedNames>
  <calcPr calcId="125725"/>
</workbook>
</file>

<file path=xl/calcChain.xml><?xml version="1.0" encoding="utf-8"?>
<calcChain xmlns="http://schemas.openxmlformats.org/spreadsheetml/2006/main">
  <c r="B49" i="2"/>
  <c r="D57" l="1"/>
  <c r="E57" s="1"/>
  <c r="D68"/>
  <c r="E68" s="1"/>
  <c r="C70"/>
  <c r="C73"/>
  <c r="C76"/>
  <c r="C78"/>
  <c r="D90"/>
  <c r="E90" s="1"/>
  <c r="D102"/>
  <c r="D109" s="1"/>
  <c r="E109" s="1"/>
  <c r="E102"/>
  <c r="D103"/>
  <c r="C105"/>
  <c r="D105"/>
  <c r="E105" s="1"/>
  <c r="D106"/>
  <c r="E106" s="1"/>
  <c r="C108"/>
  <c r="C111"/>
  <c r="C114"/>
  <c r="D114"/>
  <c r="D108" l="1"/>
  <c r="E108" s="1"/>
  <c r="D73"/>
  <c r="E73" s="1"/>
  <c r="D70"/>
  <c r="E70" s="1"/>
  <c r="D74"/>
  <c r="E74" s="1"/>
  <c r="D111"/>
  <c r="E111" s="1"/>
  <c r="D76"/>
  <c r="E76" s="1"/>
  <c r="D71"/>
  <c r="E71" s="1"/>
  <c r="E114"/>
  <c r="D112" l="1"/>
  <c r="E112" s="1"/>
  <c r="D77"/>
  <c r="E77" s="1"/>
  <c r="D78" s="1"/>
  <c r="E78" s="1"/>
  <c r="E79" s="1"/>
  <c r="E119"/>
  <c r="E83"/>
  <c r="E115"/>
  <c r="D116" s="1"/>
  <c r="C191"/>
  <c r="C33" i="8"/>
  <c r="C24" i="5"/>
  <c r="D80" i="2" l="1"/>
  <c r="C216"/>
  <c r="C215"/>
  <c r="C217"/>
  <c r="A33" l="1"/>
  <c r="A32"/>
  <c r="A31"/>
  <c r="A23"/>
  <c r="A22"/>
  <c r="A14"/>
  <c r="D21" i="9" l="1"/>
  <c r="D14"/>
  <c r="D15" l="1"/>
  <c r="D17"/>
  <c r="D22" s="1"/>
  <c r="D24" s="1"/>
  <c r="C186" i="2"/>
  <c r="E42" l="1"/>
  <c r="E41"/>
  <c r="E40"/>
  <c r="E39"/>
  <c r="E46"/>
  <c r="E43" l="1"/>
  <c r="C210"/>
  <c r="C205"/>
  <c r="D235"/>
  <c r="D233"/>
  <c r="D231"/>
  <c r="D229"/>
  <c r="D165" l="1"/>
  <c r="E165" s="1"/>
  <c r="E149"/>
  <c r="E150"/>
  <c r="E151"/>
  <c r="E152"/>
  <c r="E153"/>
  <c r="E154"/>
  <c r="E155"/>
  <c r="E156"/>
  <c r="E157"/>
  <c r="E148"/>
  <c r="D56" l="1"/>
  <c r="E56" s="1"/>
  <c r="D58" s="1"/>
  <c r="E58" s="1"/>
  <c r="D89"/>
  <c r="E89" s="1"/>
  <c r="D91" l="1"/>
  <c r="E91" s="1"/>
  <c r="C250" l="1"/>
  <c r="A30"/>
  <c r="A29"/>
  <c r="A28"/>
  <c r="A27"/>
  <c r="A26"/>
  <c r="A25"/>
  <c r="A24"/>
  <c r="A21"/>
  <c r="A20"/>
  <c r="A19"/>
  <c r="A18"/>
  <c r="A17"/>
  <c r="A16"/>
  <c r="A15"/>
  <c r="C25" i="8"/>
  <c r="E275" i="2"/>
  <c r="E219"/>
  <c r="E211"/>
  <c r="E195"/>
  <c r="E173"/>
  <c r="E160"/>
  <c r="E139"/>
  <c r="E98"/>
  <c r="E64"/>
  <c r="D199"/>
  <c r="C16" i="4"/>
  <c r="C21" s="1"/>
  <c r="C284" i="2" s="1"/>
  <c r="F14" i="4"/>
  <c r="E14"/>
  <c r="D14"/>
  <c r="C22" i="8"/>
  <c r="C32" i="5"/>
  <c r="C27"/>
  <c r="C36" i="8" s="1"/>
  <c r="C26" i="5"/>
  <c r="C35" i="8" s="1"/>
  <c r="E87" i="2"/>
  <c r="D126" s="1"/>
  <c r="C126"/>
  <c r="C248"/>
  <c r="E248" s="1"/>
  <c r="C227"/>
  <c r="C229" s="1"/>
  <c r="E229" s="1"/>
  <c r="D227"/>
  <c r="D236" s="1"/>
  <c r="E183"/>
  <c r="D204"/>
  <c r="C192"/>
  <c r="C187"/>
  <c r="C271"/>
  <c r="C273" s="1"/>
  <c r="E273" s="1"/>
  <c r="D274" s="1"/>
  <c r="E274" s="1"/>
  <c r="C188"/>
  <c r="C204" s="1"/>
  <c r="C125"/>
  <c r="A39"/>
  <c r="A40"/>
  <c r="A41"/>
  <c r="A42"/>
  <c r="A46"/>
  <c r="E55"/>
  <c r="D125" s="1"/>
  <c r="A131"/>
  <c r="A137" s="1"/>
  <c r="A132"/>
  <c r="A138" s="1"/>
  <c r="E158"/>
  <c r="D166"/>
  <c r="E166" s="1"/>
  <c r="D167"/>
  <c r="E167" s="1"/>
  <c r="D168"/>
  <c r="E168" s="1"/>
  <c r="D169"/>
  <c r="E169" s="1"/>
  <c r="D170"/>
  <c r="E170" s="1"/>
  <c r="E171"/>
  <c r="E246"/>
  <c r="E217"/>
  <c r="E216"/>
  <c r="E259"/>
  <c r="E262"/>
  <c r="E263"/>
  <c r="E260"/>
  <c r="E261"/>
  <c r="D93" l="1"/>
  <c r="E93" s="1"/>
  <c r="E94" s="1"/>
  <c r="D186"/>
  <c r="E186" s="1"/>
  <c r="D215"/>
  <c r="G26" i="5"/>
  <c r="E35"/>
  <c r="D35" s="1"/>
  <c r="D36" s="1"/>
  <c r="C36" s="1"/>
  <c r="C32" i="8" s="1"/>
  <c r="C233" i="2"/>
  <c r="E233" s="1"/>
  <c r="C235"/>
  <c r="E235" s="1"/>
  <c r="F264"/>
  <c r="F266" s="1"/>
  <c r="E31" s="1"/>
  <c r="C132"/>
  <c r="E132" s="1"/>
  <c r="E227"/>
  <c r="E188"/>
  <c r="C206" s="1"/>
  <c r="D159"/>
  <c r="C131"/>
  <c r="E131" s="1"/>
  <c r="C159"/>
  <c r="C137"/>
  <c r="E137" s="1"/>
  <c r="E125"/>
  <c r="E204"/>
  <c r="C138"/>
  <c r="E138" s="1"/>
  <c r="D59"/>
  <c r="E59" s="1"/>
  <c r="E60" s="1"/>
  <c r="D61" s="1"/>
  <c r="C172"/>
  <c r="C231"/>
  <c r="E231" s="1"/>
  <c r="C241"/>
  <c r="E241" s="1"/>
  <c r="F242" s="1"/>
  <c r="E29" s="1"/>
  <c r="E271"/>
  <c r="D272" s="1"/>
  <c r="E272" s="1"/>
  <c r="F275" s="1"/>
  <c r="F277" s="1"/>
  <c r="E32" s="1"/>
  <c r="E199"/>
  <c r="D249"/>
  <c r="E249" s="1"/>
  <c r="D250" s="1"/>
  <c r="E250" s="1"/>
  <c r="F251" s="1"/>
  <c r="E30" s="1"/>
  <c r="E126"/>
  <c r="D172"/>
  <c r="C34" i="8" l="1"/>
  <c r="C40"/>
  <c r="F237" i="2"/>
  <c r="E28" s="1"/>
  <c r="D187"/>
  <c r="E187" s="1"/>
  <c r="E215"/>
  <c r="D218" s="1"/>
  <c r="E218" s="1"/>
  <c r="F219" s="1"/>
  <c r="E27" s="1"/>
  <c r="C201"/>
  <c r="C202" s="1"/>
  <c r="D203" s="1"/>
  <c r="E203" s="1"/>
  <c r="C24" i="8"/>
  <c r="C30" s="1"/>
  <c r="C39" s="1"/>
  <c r="K33" i="5"/>
  <c r="K34" s="1"/>
  <c r="K35" s="1"/>
  <c r="K36" s="1"/>
  <c r="K37" s="1"/>
  <c r="K38" s="1"/>
  <c r="K39" s="1"/>
  <c r="F35"/>
  <c r="G35" s="1"/>
  <c r="C35"/>
  <c r="F133" i="2"/>
  <c r="E20" s="1"/>
  <c r="F139"/>
  <c r="E21" s="1"/>
  <c r="E172"/>
  <c r="F173" s="1"/>
  <c r="E159"/>
  <c r="F160" s="1"/>
  <c r="D191"/>
  <c r="F127"/>
  <c r="E19" s="1"/>
  <c r="D95"/>
  <c r="C41" i="8" l="1"/>
  <c r="E191" i="2"/>
  <c r="C207" s="1"/>
  <c r="D208" s="1"/>
  <c r="E208" s="1"/>
  <c r="E209" s="1"/>
  <c r="D210" s="1"/>
  <c r="E210" s="1"/>
  <c r="F211" s="1"/>
  <c r="C37" i="8"/>
  <c r="G36" i="5"/>
  <c r="G30"/>
  <c r="F175" i="2"/>
  <c r="E22" s="1"/>
  <c r="C42" i="8" l="1"/>
  <c r="C116" i="2" s="1"/>
  <c r="E116" s="1"/>
  <c r="E117" s="1"/>
  <c r="D118" s="1"/>
  <c r="E118" s="1"/>
  <c r="F119" s="1"/>
  <c r="C80"/>
  <c r="E80" s="1"/>
  <c r="E81" s="1"/>
  <c r="D82" s="1"/>
  <c r="E82" s="1"/>
  <c r="F83" s="1"/>
  <c r="D192"/>
  <c r="E192" s="1"/>
  <c r="E193" s="1"/>
  <c r="D194" s="1"/>
  <c r="E194" s="1"/>
  <c r="F195" s="1"/>
  <c r="E25" s="1"/>
  <c r="C95"/>
  <c r="C61"/>
  <c r="E61" s="1"/>
  <c r="E62" s="1"/>
  <c r="D63" s="1"/>
  <c r="E63" s="1"/>
  <c r="F64" s="1"/>
  <c r="E15" s="1"/>
  <c r="E26"/>
  <c r="F254" l="1"/>
  <c r="E23" s="1"/>
  <c r="E24"/>
  <c r="E16"/>
  <c r="E18"/>
  <c r="E95"/>
  <c r="E96" s="1"/>
  <c r="D97" s="1"/>
  <c r="E97" s="1"/>
  <c r="F98" s="1"/>
  <c r="E17" s="1"/>
  <c r="F141" l="1"/>
  <c r="F279" s="1"/>
  <c r="E14" l="1"/>
  <c r="D284"/>
  <c r="E284" s="1"/>
  <c r="F285" s="1"/>
  <c r="F287" s="1"/>
  <c r="E33" s="1"/>
  <c r="E34" l="1"/>
  <c r="F14" s="1"/>
  <c r="F290"/>
  <c r="F295" s="1"/>
  <c r="F32" l="1"/>
  <c r="F16"/>
  <c r="F22"/>
  <c r="F15"/>
  <c r="F21"/>
  <c r="F18"/>
  <c r="F23"/>
  <c r="F30"/>
  <c r="F29"/>
  <c r="F17"/>
  <c r="F24"/>
  <c r="F25"/>
  <c r="F26"/>
  <c r="F20"/>
  <c r="F27"/>
  <c r="F19"/>
  <c r="F31"/>
  <c r="F28"/>
  <c r="F33"/>
  <c r="F34" l="1"/>
</calcChain>
</file>

<file path=xl/comments1.xml><?xml version="1.0" encoding="utf-8"?>
<comments xmlns="http://schemas.openxmlformats.org/spreadsheetml/2006/main">
  <authors>
    <author>Clauber Bridi</author>
  </authors>
  <commentList>
    <comment ref="A12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5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6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7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8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1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3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69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2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4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7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0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2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7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88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89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0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2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3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4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6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7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09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0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2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6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18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3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4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5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6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1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32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37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138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14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1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3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4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5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6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8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89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0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1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4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0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6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7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223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6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6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28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28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0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0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2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2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1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6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6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7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48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25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68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1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73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4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3" author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5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3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D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D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D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D16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D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D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D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turos de trabalho. </t>
        </r>
      </text>
    </comment>
  </commentList>
</comments>
</file>

<file path=xl/sharedStrings.xml><?xml version="1.0" encoding="utf-8"?>
<sst xmlns="http://schemas.openxmlformats.org/spreadsheetml/2006/main" count="626" uniqueCount="314">
  <si>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</si>
  <si>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</si>
  <si>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</si>
  <si>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</si>
  <si>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</si>
  <si>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</si>
  <si>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</si>
  <si>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</si>
  <si>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</si>
  <si>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</si>
  <si>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</si>
  <si>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</si>
  <si>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</si>
  <si>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</si>
  <si>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</si>
  <si>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</si>
  <si>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</si>
  <si>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</si>
  <si>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</si>
  <si>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</si>
  <si>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</si>
  <si>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</si>
  <si>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</si>
  <si>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</si>
  <si>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</si>
  <si>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</si>
  <si>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</si>
  <si>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</si>
  <si>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</si>
  <si>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</si>
  <si>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</si>
  <si>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</si>
  <si>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</si>
  <si>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</si>
  <si>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</si>
  <si>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</si>
  <si>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</si>
  <si>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</si>
  <si>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</si>
  <si>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</si>
  <si>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</si>
  <si>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</si>
  <si>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</si>
  <si>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</si>
  <si>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</si>
  <si>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</si>
  <si>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</si>
  <si>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</si>
  <si>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</si>
  <si>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</si>
  <si>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</si>
  <si>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</si>
  <si>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</si>
  <si>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</si>
  <si>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</si>
  <si>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</si>
  <si>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</si>
  <si>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</si>
  <si>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</si>
  <si>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</si>
  <si>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</si>
  <si>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</si>
  <si>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</si>
  <si>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</si>
  <si>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</si>
  <si>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</si>
  <si>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</si>
  <si>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</si>
  <si>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</si>
  <si>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</si>
  <si>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</si>
  <si>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</si>
  <si>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</si>
  <si>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</si>
  <si>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</si>
  <si>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</si>
  <si>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</si>
  <si>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</si>
  <si>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</si>
  <si>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</si>
  <si>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</si>
  <si>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</si>
  <si>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</si>
  <si>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</si>
  <si>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</si>
  <si>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</si>
  <si>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</si>
  <si>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</si>
  <si>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</si>
  <si>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</si>
  <si>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</si>
  <si>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</si>
  <si>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</si>
  <si>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</si>
  <si>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</si>
  <si>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</si>
  <si>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</si>
  <si>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</si>
  <si>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</si>
  <si>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</si>
  <si>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</si>
  <si>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</si>
  <si>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</si>
  <si>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</si>
  <si>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</si>
  <si>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</si>
  <si>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</si>
  <si>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</si>
  <si>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</si>
  <si>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</si>
  <si>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</si>
  <si>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</si>
  <si>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</si>
  <si>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</si>
  <si>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</si>
  <si>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</si>
  <si>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</si>
  <si>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</si>
  <si>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</si>
  <si>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</si>
  <si>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</si>
  <si>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</si>
  <si>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</si>
  <si>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</si>
  <si>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</si>
  <si>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</si>
  <si>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</si>
  <si>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</si>
  <si>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</si>
  <si>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</si>
  <si>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</si>
  <si>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</si>
  <si>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</si>
  <si>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</si>
  <si>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</si>
  <si>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</si>
  <si>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</si>
  <si>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</si>
  <si>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</si>
  <si>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</si>
  <si>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</si>
  <si>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</si>
  <si>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</si>
  <si>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</si>
  <si>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</si>
  <si>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</si>
  <si>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</si>
  <si>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</si>
  <si>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</si>
  <si>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</si>
  <si>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</si>
  <si>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</si>
  <si>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</si>
  <si>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</si>
  <si>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</si>
  <si>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</si>
  <si>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</si>
  <si>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</si>
  <si>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</si>
  <si>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</si>
  <si>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</si>
  <si>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</si>
  <si>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</si>
  <si>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</si>
  <si>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</si>
  <si>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</si>
  <si>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</si>
  <si>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</si>
  <si>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</si>
  <si>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</si>
  <si>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</si>
  <si>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</si>
  <si>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</si>
  <si>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</si>
  <si>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</si>
  <si>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</si>
  <si>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</si>
  <si>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</si>
  <si>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</si>
  <si>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</si>
  <si>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</si>
  <si>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</si>
  <si>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</si>
  <si>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</si>
  <si>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</si>
  <si>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</si>
  <si>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</si>
  <si>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</si>
  <si>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</si>
  <si>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</si>
  <si>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</si>
  <si>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</si>
  <si>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</si>
  <si>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</si>
  <si>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</si>
  <si>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</si>
  <si>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</si>
  <si>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</si>
  <si>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</si>
  <si>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</si>
  <si>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</si>
  <si>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</si>
  <si>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</si>
  <si>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</si>
  <si>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</si>
  <si>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</si>
  <si>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</si>
  <si>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</si>
  <si>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</si>
  <si>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</si>
  <si>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</si>
  <si>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</si>
  <si>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</si>
  <si>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</si>
  <si>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</si>
  <si>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</si>
  <si>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</si>
  <si>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</si>
  <si>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</si>
  <si>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</si>
  <si>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</si>
  <si>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</si>
  <si>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</si>
  <si>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</si>
  <si>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</si>
  <si>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</si>
  <si>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Salário mínimo nacional</t>
  </si>
  <si>
    <t>Base de cálculo da Insalubridade</t>
  </si>
  <si>
    <t>Piso da categoria (1)</t>
  </si>
  <si>
    <t>Salário mínimo nacional (2)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</si>
  <si>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</si>
  <si>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</si>
  <si>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</si>
  <si>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</si>
  <si>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</si>
  <si>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</si>
  <si>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</si>
  <si>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</si>
  <si>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</si>
  <si>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</si>
  <si>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</si>
  <si>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</si>
  <si>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</si>
  <si>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</si>
  <si>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</si>
  <si>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</si>
  <si>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</si>
  <si>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</si>
  <si>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</si>
  <si>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</si>
  <si>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</si>
  <si>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</si>
  <si>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</si>
  <si>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</si>
  <si>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</si>
  <si>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</si>
  <si>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</si>
  <si>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</si>
  <si>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</si>
  <si>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</si>
  <si>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</si>
  <si>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</si>
  <si>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</si>
  <si>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</si>
  <si>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</si>
  <si>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</si>
  <si>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</si>
  <si>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</si>
  <si>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</si>
  <si>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</si>
  <si>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</si>
  <si>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</si>
  <si>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</si>
  <si>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</si>
  <si>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</si>
  <si>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</si>
  <si>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</si>
  <si>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</si>
  <si>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</si>
  <si>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</si>
  <si>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</si>
  <si>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</si>
  <si>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</si>
  <si>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</si>
  <si>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</si>
  <si>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</si>
  <si>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</si>
  <si>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</si>
  <si>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</si>
  <si>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</si>
  <si>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</si>
  <si>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</si>
  <si>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</si>
  <si>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</si>
  <si>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</si>
  <si>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</si>
  <si>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</si>
  <si>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Depreciação Média</t>
  </si>
  <si>
    <t>Custo do jogo de pneus 235/75 R17,5</t>
  </si>
  <si>
    <t>Estoque recuperado início do Período (01/08/2017)</t>
  </si>
  <si>
    <t>Estoque recuperado final do Período (31/07/2018)</t>
  </si>
  <si>
    <t>Variação Emprego Absoluta de (01/08/2017 - 31/07/2018)</t>
  </si>
  <si>
    <t xml:space="preserve">PROPONENTE: </t>
  </si>
  <si>
    <t>MUNICIPIO DE PINHAL GRANDE</t>
  </si>
  <si>
    <t>LOCAL</t>
  </si>
  <si>
    <t>SERVIÇO</t>
  </si>
  <si>
    <t>COLETA DE RESÍDUOS SÓLIDOS DOMICILIARES</t>
  </si>
  <si>
    <t>BAIRRO LIMIERA, INTEGRAÇÃO E SÃO JOSÉ DO PINHAL</t>
  </si>
  <si>
    <t>PINHAL GRANDE, 04 de outubro de 2018</t>
  </si>
  <si>
    <t>Rafael Liberalesso</t>
  </si>
  <si>
    <t>Engenheiro Civil</t>
  </si>
  <si>
    <t>_________________________</t>
  </si>
  <si>
    <t>CREA: RS 209317</t>
  </si>
  <si>
    <r>
      <t>3.1. Veículo Coletor Compactador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08 m³</t>
    </r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</si>
</sst>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4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51" xfId="0" applyFont="1" applyBorder="1"/>
    <xf numFmtId="0" fontId="18" fillId="0" borderId="48" xfId="0" applyFont="1" applyBorder="1"/>
    <xf numFmtId="0" fontId="18" fillId="0" borderId="52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9" fontId="7" fillId="0" borderId="48" xfId="0" applyNumberFormat="1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4" xfId="0" applyFont="1" applyBorder="1"/>
    <xf numFmtId="0" fontId="20" fillId="0" borderId="54" xfId="0" applyFont="1" applyBorder="1" applyAlignment="1">
      <alignment horizontal="justify"/>
    </xf>
    <xf numFmtId="0" fontId="20" fillId="0" borderId="55" xfId="0" applyFont="1" applyBorder="1" applyAlignment="1">
      <alignment horizontal="justify"/>
    </xf>
    <xf numFmtId="0" fontId="17" fillId="10" borderId="53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69" fontId="18" fillId="0" borderId="48" xfId="0" applyNumberFormat="1" applyFont="1" applyBorder="1"/>
    <xf numFmtId="169" fontId="7" fillId="0" borderId="48" xfId="0" applyNumberFormat="1" applyFont="1" applyBorder="1"/>
    <xf numFmtId="169" fontId="7" fillId="0" borderId="31" xfId="0" applyNumberFormat="1" applyFont="1" applyBorder="1"/>
    <xf numFmtId="0" fontId="3" fillId="0" borderId="56" xfId="0" applyFont="1" applyBorder="1" applyAlignment="1">
      <alignment vertical="center"/>
    </xf>
    <xf numFmtId="0" fontId="3" fillId="0" borderId="56" xfId="0" applyFont="1" applyBorder="1" applyAlignment="1">
      <alignment horizontal="center" vertical="center"/>
    </xf>
    <xf numFmtId="165" fontId="3" fillId="0" borderId="56" xfId="3" applyFont="1" applyBorder="1" applyAlignment="1">
      <alignment horizontal="center" vertical="center"/>
    </xf>
    <xf numFmtId="165" fontId="3" fillId="0" borderId="56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1" fontId="5" fillId="3" borderId="20" xfId="0" applyNumberFormat="1" applyFont="1" applyFill="1" applyBorder="1"/>
    <xf numFmtId="171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172" fontId="5" fillId="3" borderId="20" xfId="0" applyNumberFormat="1" applyFont="1" applyFill="1" applyBorder="1"/>
    <xf numFmtId="0" fontId="5" fillId="0" borderId="23" xfId="0" applyFont="1" applyBorder="1" applyAlignment="1">
      <alignment horizontal="right"/>
    </xf>
    <xf numFmtId="2" fontId="1" fillId="3" borderId="1" xfId="0" applyNumberFormat="1" applyFont="1" applyFill="1" applyBorder="1" applyAlignment="1">
      <alignment horizontal="center" vertical="center"/>
    </xf>
    <xf numFmtId="10" fontId="3" fillId="3" borderId="7" xfId="2" applyNumberFormat="1" applyFont="1" applyFill="1" applyBorder="1" applyAlignment="1">
      <alignment vertical="center"/>
    </xf>
    <xf numFmtId="165" fontId="1" fillId="3" borderId="1" xfId="3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3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6" fillId="3" borderId="1" xfId="0" applyNumberFormat="1" applyFont="1" applyFill="1" applyBorder="1" applyAlignment="1">
      <alignment vertical="center"/>
    </xf>
    <xf numFmtId="165" fontId="1" fillId="0" borderId="0" xfId="3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1" fillId="0" borderId="0" xfId="3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Porcentagem" xfId="2" builtinId="5"/>
    <cellStyle name="Separador de milhares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95250</xdr:rowOff>
    </xdr:from>
    <xdr:to>
      <xdr:col>1</xdr:col>
      <xdr:colOff>1090082</xdr:colOff>
      <xdr:row>3</xdr:row>
      <xdr:rowOff>691495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4416" y="95250"/>
          <a:ext cx="899583" cy="1072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581024</xdr:colOff>
      <xdr:row>4</xdr:row>
      <xdr:rowOff>57151</xdr:rowOff>
    </xdr:from>
    <xdr:to>
      <xdr:col>1</xdr:col>
      <xdr:colOff>1495425</xdr:colOff>
      <xdr:row>6</xdr:row>
      <xdr:rowOff>571501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r="-1647" b="14563"/>
        <a:stretch/>
      </xdr:blipFill>
      <xdr:spPr>
        <a:xfrm>
          <a:off x="1485899" y="219076"/>
          <a:ext cx="914401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2190749</xdr:colOff>
      <xdr:row>0</xdr:row>
      <xdr:rowOff>123825</xdr:rowOff>
    </xdr:from>
    <xdr:to>
      <xdr:col>1</xdr:col>
      <xdr:colOff>3090332</xdr:colOff>
      <xdr:row>3</xdr:row>
      <xdr:rowOff>619125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49" y="123825"/>
          <a:ext cx="899583" cy="981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2181224</xdr:colOff>
      <xdr:row>0</xdr:row>
      <xdr:rowOff>85725</xdr:rowOff>
    </xdr:from>
    <xdr:to>
      <xdr:col>2</xdr:col>
      <xdr:colOff>261407</xdr:colOff>
      <xdr:row>3</xdr:row>
      <xdr:rowOff>523875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1224" y="85725"/>
          <a:ext cx="899583" cy="981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247649</xdr:colOff>
      <xdr:row>0</xdr:row>
      <xdr:rowOff>38100</xdr:rowOff>
    </xdr:from>
    <xdr:to>
      <xdr:col>1</xdr:col>
      <xdr:colOff>1147232</xdr:colOff>
      <xdr:row>4</xdr:row>
      <xdr:rowOff>28575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4949" y="38100"/>
          <a:ext cx="899583" cy="981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12</xdr:row>
      <xdr:rowOff>28575</xdr:rowOff>
    </xdr:from>
    <xdr:to>
      <xdr:col>1</xdr:col>
      <xdr:colOff>1419225</xdr:colOff>
      <xdr:row>14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15</xdr:row>
      <xdr:rowOff>9525</xdr:rowOff>
    </xdr:from>
    <xdr:to>
      <xdr:col>1</xdr:col>
      <xdr:colOff>2124075</xdr:colOff>
      <xdr:row>17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1552574</xdr:colOff>
      <xdr:row>0</xdr:row>
      <xdr:rowOff>104775</xdr:rowOff>
    </xdr:from>
    <xdr:to>
      <xdr:col>1</xdr:col>
      <xdr:colOff>2452157</xdr:colOff>
      <xdr:row>3</xdr:row>
      <xdr:rowOff>600075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62174" y="104775"/>
          <a:ext cx="899583" cy="981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1548492</xdr:colOff>
      <xdr:row>0</xdr:row>
      <xdr:rowOff>6804</xdr:rowOff>
    </xdr:from>
    <xdr:to>
      <xdr:col>1</xdr:col>
      <xdr:colOff>2448075</xdr:colOff>
      <xdr:row>3</xdr:row>
      <xdr:rowOff>506186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0813" y="6804"/>
          <a:ext cx="899583" cy="989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9"/>
  <sheetViews>
    <sheetView tabSelected="1" view="pageBreakPreview" topLeftCell="A244" zoomScale="90" zoomScaleNormal="100" zoomScaleSheetLayoutView="90" workbookViewId="0">
      <selection activeCell="E182" sqref="E182"/>
    </sheetView>
  </sheetViews>
  <sheetFormatPr defaultRowHeight="12.75"/>
  <cols>
    <col min="1" max="1" width="44.5703125" style="9" customWidth="1"/>
    <col min="2" max="2" width="17" style="9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>
      <c r="A1" s="319"/>
      <c r="B1" s="319"/>
      <c r="C1" s="319"/>
      <c r="D1" s="319"/>
      <c r="E1" s="319"/>
      <c r="F1" s="319"/>
    </row>
    <row r="2" spans="1:7">
      <c r="A2" s="319"/>
      <c r="B2" s="319"/>
      <c r="C2" s="319"/>
      <c r="D2" s="319"/>
      <c r="E2" s="319"/>
      <c r="F2" s="319"/>
    </row>
    <row r="3" spans="1:7">
      <c r="A3" s="319"/>
      <c r="B3" s="319"/>
      <c r="C3" s="319"/>
      <c r="D3" s="319"/>
      <c r="E3" s="319"/>
      <c r="F3" s="319"/>
    </row>
    <row r="4" spans="1:7" ht="57.75" customHeight="1">
      <c r="A4" s="319"/>
      <c r="B4" s="319"/>
      <c r="C4" s="319"/>
      <c r="D4" s="319"/>
      <c r="E4" s="319"/>
      <c r="F4" s="319"/>
    </row>
    <row r="5" spans="1:7">
      <c r="A5" s="11" t="s">
        <v>302</v>
      </c>
      <c r="B5" s="316" t="s">
        <v>303</v>
      </c>
      <c r="C5" s="316"/>
      <c r="D5" s="316"/>
      <c r="E5" s="316"/>
      <c r="F5" s="316"/>
    </row>
    <row r="6" spans="1:7">
      <c r="A6" s="286" t="s">
        <v>305</v>
      </c>
      <c r="B6" s="317" t="s">
        <v>306</v>
      </c>
      <c r="C6" s="316"/>
      <c r="D6" s="316"/>
      <c r="E6" s="316"/>
      <c r="F6" s="316"/>
    </row>
    <row r="7" spans="1:7" s="4" customFormat="1" ht="15.6" customHeight="1">
      <c r="A7" s="9" t="s">
        <v>304</v>
      </c>
      <c r="B7" s="318" t="s">
        <v>307</v>
      </c>
      <c r="C7" s="318"/>
      <c r="D7" s="318"/>
      <c r="E7" s="318"/>
      <c r="F7" s="318"/>
      <c r="G7" s="6"/>
    </row>
    <row r="8" spans="1:7" s="4" customFormat="1" ht="16.5" customHeight="1" thickBot="1">
      <c r="A8" s="7"/>
      <c r="B8" s="5"/>
      <c r="C8" s="5"/>
      <c r="D8" s="6"/>
      <c r="E8" s="6"/>
      <c r="F8" s="6"/>
      <c r="G8" s="6"/>
    </row>
    <row r="9" spans="1:7" s="8" customFormat="1" ht="18">
      <c r="A9" s="324" t="s">
        <v>235</v>
      </c>
      <c r="B9" s="325"/>
      <c r="C9" s="325"/>
      <c r="D9" s="325"/>
      <c r="E9" s="325"/>
      <c r="F9" s="326"/>
      <c r="G9" s="36"/>
    </row>
    <row r="10" spans="1:7" s="8" customFormat="1" ht="21.75" customHeight="1">
      <c r="A10" s="327" t="s">
        <v>45</v>
      </c>
      <c r="B10" s="328"/>
      <c r="C10" s="328"/>
      <c r="D10" s="328"/>
      <c r="E10" s="328"/>
      <c r="F10" s="329"/>
      <c r="G10" s="36"/>
    </row>
    <row r="11" spans="1:7" s="4" customFormat="1" ht="10.9" customHeight="1" thickBot="1">
      <c r="A11" s="149"/>
      <c r="B11" s="150"/>
      <c r="C11" s="150"/>
      <c r="D11" s="151"/>
      <c r="E11" s="151"/>
      <c r="F11" s="152"/>
      <c r="G11" s="6"/>
    </row>
    <row r="12" spans="1:7" s="4" customFormat="1" ht="15.75" customHeight="1" thickBot="1">
      <c r="A12" s="333" t="s">
        <v>216</v>
      </c>
      <c r="B12" s="334"/>
      <c r="C12" s="334"/>
      <c r="D12" s="334"/>
      <c r="E12" s="334"/>
      <c r="F12" s="335"/>
      <c r="G12" s="6"/>
    </row>
    <row r="13" spans="1:7" s="4" customFormat="1" ht="15.75" customHeight="1">
      <c r="A13" s="64" t="s">
        <v>215</v>
      </c>
      <c r="B13" s="40"/>
      <c r="C13" s="40"/>
      <c r="D13" s="262"/>
      <c r="E13" s="115" t="s">
        <v>40</v>
      </c>
      <c r="F13" s="41" t="s">
        <v>2</v>
      </c>
      <c r="G13" s="6"/>
    </row>
    <row r="14" spans="1:7" s="11" customFormat="1" ht="15.75" customHeight="1">
      <c r="A14" s="125" t="str">
        <f>A51</f>
        <v>1. Mão-de-obra</v>
      </c>
      <c r="B14" s="126"/>
      <c r="C14" s="127"/>
      <c r="D14" s="127"/>
      <c r="E14" s="259">
        <f>+F141</f>
        <v>3691.1470210512116</v>
      </c>
      <c r="F14" s="128">
        <f>IFERROR(E14/$E$34,0)</f>
        <v>0.27790047430066772</v>
      </c>
      <c r="G14" s="44"/>
    </row>
    <row r="15" spans="1:7" s="4" customFormat="1" ht="15.75" customHeight="1">
      <c r="A15" s="49" t="str">
        <f>A53</f>
        <v>1.1. Coletor Turno Dia</v>
      </c>
      <c r="B15" s="45"/>
      <c r="C15" s="47"/>
      <c r="D15" s="47"/>
      <c r="E15" s="260">
        <f>F64</f>
        <v>1839.1657315676746</v>
      </c>
      <c r="F15" s="58">
        <f>IFERROR(E15/$E$34,0)</f>
        <v>0.13846780586231766</v>
      </c>
      <c r="G15" s="6"/>
    </row>
    <row r="16" spans="1:7" s="4" customFormat="1">
      <c r="A16" s="49" t="str">
        <f>A66</f>
        <v>1.2. Coletor Turno Noite</v>
      </c>
      <c r="B16" s="45"/>
      <c r="C16" s="47"/>
      <c r="D16" s="47"/>
      <c r="E16" s="260">
        <f>F83</f>
        <v>0</v>
      </c>
      <c r="F16" s="58">
        <f t="shared" ref="F16:F33" si="0">IFERROR(E16/$E$34,0)</f>
        <v>0</v>
      </c>
      <c r="G16" s="6"/>
    </row>
    <row r="17" spans="1:7" s="4" customFormat="1" ht="15.75" customHeight="1">
      <c r="A17" s="49" t="str">
        <f>A85</f>
        <v>1.3. Motorista Turno do Dia</v>
      </c>
      <c r="B17" s="45"/>
      <c r="C17" s="47"/>
      <c r="D17" s="47"/>
      <c r="E17" s="260">
        <f>F98</f>
        <v>1259.8468894835366</v>
      </c>
      <c r="F17" s="58">
        <f t="shared" si="0"/>
        <v>9.4851829563263074E-2</v>
      </c>
      <c r="G17" s="6"/>
    </row>
    <row r="18" spans="1:7" s="4" customFormat="1">
      <c r="A18" s="49" t="str">
        <f>A100</f>
        <v>1.4. Motorista Turno Noite</v>
      </c>
      <c r="B18" s="45"/>
      <c r="C18" s="47"/>
      <c r="D18" s="47"/>
      <c r="E18" s="260">
        <f>F119</f>
        <v>0</v>
      </c>
      <c r="F18" s="58">
        <f t="shared" si="0"/>
        <v>0</v>
      </c>
      <c r="G18" s="6"/>
    </row>
    <row r="19" spans="1:7" s="4" customFormat="1" ht="15.75" customHeight="1">
      <c r="A19" s="49" t="str">
        <f>A121</f>
        <v>1.5. Vale Transporte</v>
      </c>
      <c r="B19" s="45"/>
      <c r="C19" s="47"/>
      <c r="D19" s="47"/>
      <c r="E19" s="260">
        <f>F127</f>
        <v>-59.865600000000022</v>
      </c>
      <c r="F19" s="58">
        <f t="shared" si="0"/>
        <v>-4.5071839564808387E-3</v>
      </c>
      <c r="G19" s="6"/>
    </row>
    <row r="20" spans="1:7" s="4" customFormat="1">
      <c r="A20" s="49" t="str">
        <f>A129</f>
        <v>1.6. Vale-refeição (diário)</v>
      </c>
      <c r="B20" s="45"/>
      <c r="C20" s="47"/>
      <c r="D20" s="47"/>
      <c r="E20" s="260">
        <f>F133</f>
        <v>652</v>
      </c>
      <c r="F20" s="58">
        <f t="shared" si="0"/>
        <v>4.9088022831567803E-2</v>
      </c>
      <c r="G20" s="6"/>
    </row>
    <row r="21" spans="1:7" s="4" customFormat="1">
      <c r="A21" s="49" t="str">
        <f>A135</f>
        <v>1.7. Auxílio Alimentação (mensal)</v>
      </c>
      <c r="B21" s="45"/>
      <c r="C21" s="47"/>
      <c r="D21" s="47"/>
      <c r="E21" s="260">
        <f>F139</f>
        <v>0</v>
      </c>
      <c r="F21" s="58">
        <f t="shared" si="0"/>
        <v>0</v>
      </c>
      <c r="G21" s="6"/>
    </row>
    <row r="22" spans="1:7" s="11" customFormat="1" ht="15.75" customHeight="1">
      <c r="A22" s="322" t="str">
        <f>A143</f>
        <v>2. Uniformes e Equipamentos de Proteção Individual</v>
      </c>
      <c r="B22" s="323"/>
      <c r="C22" s="323"/>
      <c r="D22" s="127"/>
      <c r="E22" s="259">
        <f>+F175</f>
        <v>101.13604696969696</v>
      </c>
      <c r="F22" s="128">
        <f t="shared" si="0"/>
        <v>7.6143689919371139E-3</v>
      </c>
      <c r="G22" s="44"/>
    </row>
    <row r="23" spans="1:7" s="11" customFormat="1" ht="15.75" customHeight="1">
      <c r="A23" s="136" t="str">
        <f>A177</f>
        <v>3. Veículos e Equipamentos</v>
      </c>
      <c r="B23" s="137"/>
      <c r="C23" s="127"/>
      <c r="D23" s="127"/>
      <c r="E23" s="259">
        <f>+F254</f>
        <v>6676.5958616982016</v>
      </c>
      <c r="F23" s="128">
        <f t="shared" si="0"/>
        <v>0.50267007683465093</v>
      </c>
      <c r="G23" s="44"/>
    </row>
    <row r="24" spans="1:7" s="4" customFormat="1" ht="15.75" customHeight="1">
      <c r="A24" s="65" t="str">
        <f>A179</f>
        <v>3.1. Veículo Coletor Compactador 08 m³</v>
      </c>
      <c r="B24" s="46"/>
      <c r="C24" s="47"/>
      <c r="D24" s="47"/>
      <c r="E24" s="260">
        <f>SUM(E25:E30)</f>
        <v>6676.5958616982016</v>
      </c>
      <c r="F24" s="142">
        <f t="shared" si="0"/>
        <v>0.50267007683465093</v>
      </c>
      <c r="G24" s="6"/>
    </row>
    <row r="25" spans="1:7" s="4" customFormat="1" ht="15.75" customHeight="1">
      <c r="A25" s="65" t="str">
        <f>A181</f>
        <v>3.1.1. Depreciação</v>
      </c>
      <c r="B25" s="46"/>
      <c r="C25" s="47"/>
      <c r="D25" s="47"/>
      <c r="E25" s="260">
        <f>F195</f>
        <v>320.51107788354545</v>
      </c>
      <c r="F25" s="142">
        <f t="shared" si="0"/>
        <v>2.4130759369505959E-2</v>
      </c>
      <c r="G25" s="6"/>
    </row>
    <row r="26" spans="1:7" s="4" customFormat="1" ht="15.75" customHeight="1">
      <c r="A26" s="65" t="str">
        <f>A197</f>
        <v>3.1.2. Remuneração do Capital</v>
      </c>
      <c r="B26" s="46"/>
      <c r="C26" s="47"/>
      <c r="D26" s="47"/>
      <c r="E26" s="260">
        <f>F211</f>
        <v>238.00027560253443</v>
      </c>
      <c r="F26" s="142">
        <f t="shared" si="0"/>
        <v>1.7918654850761717E-2</v>
      </c>
      <c r="G26" s="6"/>
    </row>
    <row r="27" spans="1:7" s="4" customFormat="1" ht="15.75" customHeight="1">
      <c r="A27" s="65" t="str">
        <f>A213</f>
        <v>3.1.3. Impostos e Seguros</v>
      </c>
      <c r="B27" s="46"/>
      <c r="C27" s="47"/>
      <c r="D27" s="47"/>
      <c r="E27" s="260">
        <f>F219</f>
        <v>75.433811712121212</v>
      </c>
      <c r="F27" s="142">
        <f t="shared" si="0"/>
        <v>5.6792893736147126E-3</v>
      </c>
      <c r="G27" s="6"/>
    </row>
    <row r="28" spans="1:7" s="4" customFormat="1" ht="15.75" customHeight="1">
      <c r="A28" s="65" t="str">
        <f>A221</f>
        <v>3.1.4. Consumos</v>
      </c>
      <c r="B28" s="46"/>
      <c r="C28" s="47"/>
      <c r="D28" s="47"/>
      <c r="E28" s="260">
        <f>F237</f>
        <v>3802.5693365000006</v>
      </c>
      <c r="F28" s="142">
        <f t="shared" si="0"/>
        <v>0.28628927976799334</v>
      </c>
      <c r="G28" s="6"/>
    </row>
    <row r="29" spans="1:7" s="4" customFormat="1" ht="15.75" customHeight="1">
      <c r="A29" s="65" t="str">
        <f>A239</f>
        <v>3.1.5. Manutenção</v>
      </c>
      <c r="B29" s="46"/>
      <c r="C29" s="47"/>
      <c r="D29" s="47"/>
      <c r="E29" s="260">
        <f>F242</f>
        <v>1540.5764000000001</v>
      </c>
      <c r="F29" s="142">
        <f t="shared" si="0"/>
        <v>0.11598749922848856</v>
      </c>
      <c r="G29" s="6"/>
    </row>
    <row r="30" spans="1:7" s="4" customFormat="1" ht="15.75" customHeight="1">
      <c r="A30" s="65" t="str">
        <f>A244</f>
        <v>3.1.6. Pneus</v>
      </c>
      <c r="B30" s="46"/>
      <c r="C30" s="47"/>
      <c r="D30" s="47"/>
      <c r="E30" s="260">
        <f>F251</f>
        <v>699.5049600000001</v>
      </c>
      <c r="F30" s="142">
        <f t="shared" si="0"/>
        <v>5.2664594244286697E-2</v>
      </c>
      <c r="G30" s="6"/>
    </row>
    <row r="31" spans="1:7" s="11" customFormat="1" ht="15.75" customHeight="1">
      <c r="A31" s="136" t="str">
        <f>A256</f>
        <v>4. Ferramentas e Materiais de Consumo</v>
      </c>
      <c r="B31" s="137"/>
      <c r="C31" s="127"/>
      <c r="D31" s="127"/>
      <c r="E31" s="259">
        <f>+F266</f>
        <v>16.25</v>
      </c>
      <c r="F31" s="128">
        <f t="shared" si="0"/>
        <v>1.2234361518603939E-3</v>
      </c>
      <c r="G31" s="44"/>
    </row>
    <row r="32" spans="1:7" s="11" customFormat="1" ht="15.75" customHeight="1">
      <c r="A32" s="136" t="str">
        <f>A268</f>
        <v>5. Monitoramento da Frota</v>
      </c>
      <c r="B32" s="137"/>
      <c r="C32" s="127"/>
      <c r="D32" s="127"/>
      <c r="E32" s="259">
        <f>+F277</f>
        <v>18.004393939393939</v>
      </c>
      <c r="F32" s="128">
        <f t="shared" si="0"/>
        <v>1.3555216269409672E-3</v>
      </c>
      <c r="G32" s="44"/>
    </row>
    <row r="33" spans="1:7" s="11" customFormat="1" ht="15.75" customHeight="1" thickBot="1">
      <c r="A33" s="136" t="str">
        <f>A281</f>
        <v>6. Benefícios e Despesas Indiretas - BDI</v>
      </c>
      <c r="B33" s="137"/>
      <c r="C33" s="127"/>
      <c r="D33" s="127"/>
      <c r="E33" s="261">
        <f>+F287</f>
        <v>2779.1290774400404</v>
      </c>
      <c r="F33" s="128">
        <f t="shared" si="0"/>
        <v>0.20923612209394274</v>
      </c>
      <c r="G33" s="44"/>
    </row>
    <row r="34" spans="1:7" s="4" customFormat="1" ht="15.75" customHeight="1" thickBot="1">
      <c r="A34" s="42" t="s">
        <v>256</v>
      </c>
      <c r="B34" s="43"/>
      <c r="C34" s="26"/>
      <c r="D34" s="26"/>
      <c r="E34" s="114">
        <f>E14+E22+E23+E31+E32+E33</f>
        <v>13282.262401098546</v>
      </c>
      <c r="F34" s="141">
        <f>F14+F22+F23+F31+F32+F33</f>
        <v>0.99999999999999978</v>
      </c>
      <c r="G34" s="6"/>
    </row>
    <row r="36" spans="1:7" ht="13.5" thickBot="1"/>
    <row r="37" spans="1:7" s="4" customFormat="1" ht="15" customHeight="1" thickBot="1">
      <c r="A37" s="333" t="s">
        <v>102</v>
      </c>
      <c r="B37" s="334"/>
      <c r="C37" s="334"/>
      <c r="D37" s="334"/>
      <c r="E37" s="335"/>
      <c r="F37" s="10"/>
      <c r="G37" s="6"/>
    </row>
    <row r="38" spans="1:7" s="4" customFormat="1" ht="15" customHeight="1" thickBot="1">
      <c r="A38" s="330" t="s">
        <v>41</v>
      </c>
      <c r="B38" s="331"/>
      <c r="C38" s="331"/>
      <c r="D38" s="332"/>
      <c r="E38" s="48" t="s">
        <v>42</v>
      </c>
      <c r="F38" s="10"/>
      <c r="G38" s="6"/>
    </row>
    <row r="39" spans="1:7" s="4" customFormat="1" ht="15" customHeight="1">
      <c r="A39" s="73" t="str">
        <f>+A53</f>
        <v>1.1. Coletor Turno Dia</v>
      </c>
      <c r="B39" s="74"/>
      <c r="C39" s="74"/>
      <c r="D39" s="75"/>
      <c r="E39" s="76">
        <f>C63</f>
        <v>2</v>
      </c>
      <c r="F39" s="10"/>
      <c r="G39" s="6"/>
    </row>
    <row r="40" spans="1:7" s="4" customFormat="1" ht="15" customHeight="1">
      <c r="A40" s="67" t="str">
        <f>+A66</f>
        <v>1.2. Coletor Turno Noite</v>
      </c>
      <c r="B40" s="66"/>
      <c r="C40" s="66"/>
      <c r="D40" s="77"/>
      <c r="E40" s="70">
        <f>C82</f>
        <v>0</v>
      </c>
      <c r="F40" s="10"/>
      <c r="G40" s="6"/>
    </row>
    <row r="41" spans="1:7" s="4" customFormat="1" ht="15" customHeight="1">
      <c r="A41" s="67" t="str">
        <f>+A85</f>
        <v>1.3. Motorista Turno do Dia</v>
      </c>
      <c r="B41" s="66"/>
      <c r="C41" s="66"/>
      <c r="D41" s="77"/>
      <c r="E41" s="70">
        <f>C97</f>
        <v>1</v>
      </c>
      <c r="F41" s="10"/>
      <c r="G41" s="6"/>
    </row>
    <row r="42" spans="1:7" s="4" customFormat="1" ht="15" customHeight="1">
      <c r="A42" s="67" t="str">
        <f>+A100</f>
        <v>1.4. Motorista Turno Noite</v>
      </c>
      <c r="B42" s="66"/>
      <c r="C42" s="66"/>
      <c r="D42" s="77"/>
      <c r="E42" s="70">
        <f>C118</f>
        <v>0</v>
      </c>
      <c r="F42" s="10"/>
      <c r="G42" s="6"/>
    </row>
    <row r="43" spans="1:7" s="4" customFormat="1" ht="15" customHeight="1" thickBot="1">
      <c r="A43" s="71" t="s">
        <v>61</v>
      </c>
      <c r="B43" s="72"/>
      <c r="C43" s="72"/>
      <c r="D43" s="78"/>
      <c r="E43" s="79">
        <f>SUM(E39:E42)</f>
        <v>3</v>
      </c>
      <c r="F43" s="10"/>
      <c r="G43" s="6"/>
    </row>
    <row r="44" spans="1:7" s="4" customFormat="1" ht="15" customHeight="1" thickBot="1">
      <c r="A44" s="129"/>
      <c r="B44" s="130"/>
      <c r="C44" s="59"/>
      <c r="D44" s="59"/>
      <c r="E44" s="131"/>
      <c r="F44" s="10"/>
      <c r="G44" s="6"/>
    </row>
    <row r="45" spans="1:7" s="4" customFormat="1" ht="15" customHeight="1">
      <c r="A45" s="320" t="s">
        <v>58</v>
      </c>
      <c r="B45" s="321"/>
      <c r="C45" s="321"/>
      <c r="D45" s="321"/>
      <c r="E45" s="48" t="s">
        <v>42</v>
      </c>
      <c r="F45" s="9"/>
      <c r="G45" s="6"/>
    </row>
    <row r="46" spans="1:7" s="4" customFormat="1" ht="15" customHeight="1" thickBot="1">
      <c r="A46" s="132" t="str">
        <f>+A179</f>
        <v>3.1. Veículo Coletor Compactador 08 m³</v>
      </c>
      <c r="B46" s="133"/>
      <c r="C46" s="133"/>
      <c r="D46" s="134"/>
      <c r="E46" s="135">
        <f>C194</f>
        <v>1</v>
      </c>
      <c r="F46" s="9"/>
      <c r="G46" s="6"/>
    </row>
    <row r="47" spans="1:7" s="4" customFormat="1" ht="15" customHeight="1">
      <c r="A47" s="59"/>
      <c r="B47" s="59"/>
      <c r="C47" s="59"/>
      <c r="D47" s="54"/>
      <c r="E47" s="252"/>
      <c r="F47" s="9"/>
      <c r="G47" s="6"/>
    </row>
    <row r="48" spans="1:7" s="4" customFormat="1" ht="13.5" thickBot="1">
      <c r="A48" s="59"/>
      <c r="B48" s="59"/>
      <c r="C48" s="59"/>
      <c r="D48" s="54"/>
      <c r="E48" s="68"/>
      <c r="F48" s="9"/>
      <c r="G48" s="6"/>
    </row>
    <row r="49" spans="1:7" s="11" customFormat="1" ht="15.75" customHeight="1" thickBot="1">
      <c r="A49" s="263" t="s">
        <v>210</v>
      </c>
      <c r="B49" s="307">
        <f>13.24/44</f>
        <v>0.3009090909090909</v>
      </c>
      <c r="C49" s="35"/>
      <c r="D49" s="34"/>
      <c r="E49" s="154"/>
      <c r="G49" s="44"/>
    </row>
    <row r="50" spans="1:7" s="4" customFormat="1" ht="15.75" customHeight="1">
      <c r="A50" s="59"/>
      <c r="B50" s="59"/>
      <c r="C50" s="59"/>
      <c r="D50" s="54"/>
      <c r="E50" s="68"/>
      <c r="F50" s="9"/>
      <c r="G50" s="6"/>
    </row>
    <row r="51" spans="1:7" ht="13.15" customHeight="1">
      <c r="A51" s="11" t="s">
        <v>49</v>
      </c>
    </row>
    <row r="52" spans="1:7" ht="11.25" customHeight="1"/>
    <row r="53" spans="1:7" ht="13.9" customHeight="1" thickBot="1">
      <c r="A53" s="9" t="s">
        <v>105</v>
      </c>
    </row>
    <row r="54" spans="1:7" ht="13.9" customHeight="1" thickBot="1">
      <c r="A54" s="60" t="s">
        <v>66</v>
      </c>
      <c r="B54" s="61" t="s">
        <v>67</v>
      </c>
      <c r="C54" s="61" t="s">
        <v>42</v>
      </c>
      <c r="D54" s="62" t="s">
        <v>252</v>
      </c>
      <c r="E54" s="62" t="s">
        <v>68</v>
      </c>
      <c r="F54" s="63" t="s">
        <v>69</v>
      </c>
    </row>
    <row r="55" spans="1:7" ht="13.15" customHeight="1">
      <c r="A55" s="13" t="s">
        <v>225</v>
      </c>
      <c r="B55" s="14" t="s">
        <v>8</v>
      </c>
      <c r="C55" s="14">
        <v>1</v>
      </c>
      <c r="D55" s="87">
        <v>1221.8800000000001</v>
      </c>
      <c r="E55" s="15">
        <f>C55*D55</f>
        <v>1221.8800000000001</v>
      </c>
    </row>
    <row r="56" spans="1:7">
      <c r="A56" s="16" t="s">
        <v>36</v>
      </c>
      <c r="B56" s="17" t="s">
        <v>0</v>
      </c>
      <c r="C56" s="88">
        <v>2</v>
      </c>
      <c r="D56" s="18">
        <f>D55/220*2</f>
        <v>11.108000000000001</v>
      </c>
      <c r="E56" s="18">
        <f>C56*D56</f>
        <v>22.216000000000001</v>
      </c>
      <c r="G56" s="10" t="s">
        <v>264</v>
      </c>
    </row>
    <row r="57" spans="1:7" ht="13.15" customHeight="1">
      <c r="A57" s="16" t="s">
        <v>37</v>
      </c>
      <c r="B57" s="17" t="s">
        <v>0</v>
      </c>
      <c r="C57" s="306">
        <v>0</v>
      </c>
      <c r="D57" s="18">
        <f>D55/220*1.5</f>
        <v>8.3309999999999995</v>
      </c>
      <c r="E57" s="18">
        <f>C57*D57</f>
        <v>0</v>
      </c>
      <c r="G57" s="10" t="s">
        <v>266</v>
      </c>
    </row>
    <row r="58" spans="1:7" ht="13.15" customHeight="1">
      <c r="A58" s="16" t="s">
        <v>232</v>
      </c>
      <c r="B58" s="17" t="s">
        <v>35</v>
      </c>
      <c r="D58" s="18">
        <f>63/302*(SUM(E56:E57))</f>
        <v>4.6344635761589412</v>
      </c>
      <c r="E58" s="18">
        <f>D58</f>
        <v>4.6344635761589412</v>
      </c>
      <c r="G58" s="10" t="s">
        <v>231</v>
      </c>
    </row>
    <row r="59" spans="1:7">
      <c r="A59" s="16" t="s">
        <v>1</v>
      </c>
      <c r="B59" s="17" t="s">
        <v>2</v>
      </c>
      <c r="C59" s="17">
        <v>40</v>
      </c>
      <c r="D59" s="83">
        <f>SUM(E55:E58)</f>
        <v>1248.7304635761589</v>
      </c>
      <c r="E59" s="18">
        <f>C59*D59/100</f>
        <v>499.49218543046356</v>
      </c>
    </row>
    <row r="60" spans="1:7">
      <c r="A60" s="116" t="s">
        <v>3</v>
      </c>
      <c r="B60" s="117"/>
      <c r="C60" s="117"/>
      <c r="D60" s="118"/>
      <c r="E60" s="119">
        <f>SUM(E55:E59)</f>
        <v>1748.2226490066223</v>
      </c>
    </row>
    <row r="61" spans="1:7">
      <c r="A61" s="16" t="s">
        <v>4</v>
      </c>
      <c r="B61" s="17" t="s">
        <v>2</v>
      </c>
      <c r="C61" s="139">
        <f>'2.Encargos Sociais'!$C$42*100</f>
        <v>74.807000000000002</v>
      </c>
      <c r="D61" s="18">
        <f>E60</f>
        <v>1748.2226490066223</v>
      </c>
      <c r="E61" s="18">
        <f>D61*C61/100</f>
        <v>1307.792917042384</v>
      </c>
    </row>
    <row r="62" spans="1:7">
      <c r="A62" s="116" t="s">
        <v>76</v>
      </c>
      <c r="B62" s="117"/>
      <c r="C62" s="117"/>
      <c r="D62" s="118"/>
      <c r="E62" s="119">
        <f>E60+E61</f>
        <v>3056.0155660490063</v>
      </c>
    </row>
    <row r="63" spans="1:7" ht="13.5" thickBot="1">
      <c r="A63" s="16" t="s">
        <v>5</v>
      </c>
      <c r="B63" s="17" t="s">
        <v>6</v>
      </c>
      <c r="C63" s="86">
        <v>2</v>
      </c>
      <c r="D63" s="18">
        <f>E62</f>
        <v>3056.0155660490063</v>
      </c>
      <c r="E63" s="18">
        <f>C63*D63</f>
        <v>6112.0311320980127</v>
      </c>
      <c r="G63" s="6"/>
    </row>
    <row r="64" spans="1:7" ht="13.9" customHeight="1" thickBot="1">
      <c r="D64" s="123" t="s">
        <v>209</v>
      </c>
      <c r="E64" s="50">
        <f>$B$49</f>
        <v>0.3009090909090909</v>
      </c>
      <c r="F64" s="124">
        <f>E63*E64</f>
        <v>1839.1657315676746</v>
      </c>
      <c r="G64" s="6"/>
    </row>
    <row r="65" spans="1:7" ht="11.25" customHeight="1"/>
    <row r="66" spans="1:7" ht="13.5" thickBot="1">
      <c r="A66" s="9" t="s">
        <v>95</v>
      </c>
    </row>
    <row r="67" spans="1:7" ht="13.5" thickBot="1">
      <c r="A67" s="60" t="s">
        <v>66</v>
      </c>
      <c r="B67" s="61" t="s">
        <v>67</v>
      </c>
      <c r="C67" s="61" t="s">
        <v>42</v>
      </c>
      <c r="D67" s="62" t="s">
        <v>252</v>
      </c>
      <c r="E67" s="62" t="s">
        <v>68</v>
      </c>
      <c r="F67" s="63" t="s">
        <v>69</v>
      </c>
    </row>
    <row r="68" spans="1:7">
      <c r="A68" s="13" t="s">
        <v>225</v>
      </c>
      <c r="B68" s="14" t="s">
        <v>8</v>
      </c>
      <c r="C68" s="14">
        <v>1</v>
      </c>
      <c r="D68" s="15">
        <f>D55</f>
        <v>1221.8800000000001</v>
      </c>
      <c r="E68" s="15">
        <f>C68*D68</f>
        <v>1221.8800000000001</v>
      </c>
    </row>
    <row r="69" spans="1:7">
      <c r="A69" s="16" t="s">
        <v>7</v>
      </c>
      <c r="B69" s="17" t="s">
        <v>103</v>
      </c>
      <c r="C69" s="88"/>
      <c r="D69" s="18"/>
      <c r="E69" s="18"/>
    </row>
    <row r="70" spans="1:7">
      <c r="A70" s="16"/>
      <c r="B70" s="17" t="s">
        <v>108</v>
      </c>
      <c r="C70" s="120">
        <f>C69*8/7</f>
        <v>0</v>
      </c>
      <c r="D70" s="18">
        <f>D68/220*0.2</f>
        <v>1.1108</v>
      </c>
      <c r="E70" s="18">
        <f>C69*D70</f>
        <v>0</v>
      </c>
    </row>
    <row r="71" spans="1:7">
      <c r="A71" s="16" t="s">
        <v>36</v>
      </c>
      <c r="B71" s="17" t="s">
        <v>0</v>
      </c>
      <c r="C71" s="88"/>
      <c r="D71" s="18">
        <f>D68/220*2</f>
        <v>11.108000000000001</v>
      </c>
      <c r="E71" s="18">
        <f>C71*D71</f>
        <v>0</v>
      </c>
      <c r="G71" s="10" t="s">
        <v>264</v>
      </c>
    </row>
    <row r="72" spans="1:7">
      <c r="A72" s="16" t="s">
        <v>104</v>
      </c>
      <c r="B72" s="17" t="s">
        <v>103</v>
      </c>
      <c r="C72" s="88"/>
      <c r="D72" s="18"/>
      <c r="E72" s="18"/>
      <c r="G72" s="10" t="s">
        <v>265</v>
      </c>
    </row>
    <row r="73" spans="1:7">
      <c r="A73" s="16"/>
      <c r="B73" s="17" t="s">
        <v>108</v>
      </c>
      <c r="C73" s="120">
        <f>C72*8/7</f>
        <v>0</v>
      </c>
      <c r="D73" s="18">
        <f>D68/220*2*1.2</f>
        <v>13.329600000000001</v>
      </c>
      <c r="E73" s="18">
        <f>C73*D73</f>
        <v>0</v>
      </c>
      <c r="G73" s="10" t="s">
        <v>265</v>
      </c>
    </row>
    <row r="74" spans="1:7">
      <c r="A74" s="16" t="s">
        <v>37</v>
      </c>
      <c r="B74" s="17" t="s">
        <v>0</v>
      </c>
      <c r="C74" s="88"/>
      <c r="D74" s="18">
        <f>D68/220*1.5</f>
        <v>8.3309999999999995</v>
      </c>
      <c r="E74" s="18">
        <f>C74*D74</f>
        <v>0</v>
      </c>
      <c r="G74" s="10" t="s">
        <v>266</v>
      </c>
    </row>
    <row r="75" spans="1:7">
      <c r="A75" s="16" t="s">
        <v>230</v>
      </c>
      <c r="B75" s="17" t="s">
        <v>103</v>
      </c>
      <c r="C75" s="88"/>
      <c r="D75" s="18"/>
      <c r="E75" s="18"/>
      <c r="G75" s="10" t="s">
        <v>267</v>
      </c>
    </row>
    <row r="76" spans="1:7">
      <c r="A76" s="16"/>
      <c r="B76" s="17" t="s">
        <v>108</v>
      </c>
      <c r="C76" s="18">
        <f>C75*8/7</f>
        <v>0</v>
      </c>
      <c r="D76" s="18">
        <f>D68/220*1.5*1.2</f>
        <v>9.9971999999999994</v>
      </c>
      <c r="E76" s="18">
        <f>C76*D76</f>
        <v>0</v>
      </c>
      <c r="G76" s="10" t="s">
        <v>267</v>
      </c>
    </row>
    <row r="77" spans="1:7" ht="13.15" customHeight="1">
      <c r="A77" s="16" t="s">
        <v>232</v>
      </c>
      <c r="B77" s="17" t="s">
        <v>35</v>
      </c>
      <c r="D77" s="18">
        <f>63/302*(SUM(E71:E76))</f>
        <v>0</v>
      </c>
      <c r="E77" s="18">
        <f>D77</f>
        <v>0</v>
      </c>
      <c r="G77" s="10" t="s">
        <v>231</v>
      </c>
    </row>
    <row r="78" spans="1:7">
      <c r="A78" s="16" t="s">
        <v>1</v>
      </c>
      <c r="B78" s="17" t="s">
        <v>2</v>
      </c>
      <c r="C78" s="17">
        <f>+C59</f>
        <v>40</v>
      </c>
      <c r="D78" s="83">
        <f>SUM(E68:E77)</f>
        <v>1221.8800000000001</v>
      </c>
      <c r="E78" s="18">
        <f>C78*D78/100</f>
        <v>488.75200000000007</v>
      </c>
    </row>
    <row r="79" spans="1:7">
      <c r="A79" s="116" t="s">
        <v>3</v>
      </c>
      <c r="B79" s="117"/>
      <c r="C79" s="117"/>
      <c r="D79" s="118"/>
      <c r="E79" s="119">
        <f>SUM(E68:E78)</f>
        <v>1710.6320000000001</v>
      </c>
    </row>
    <row r="80" spans="1:7">
      <c r="A80" s="16" t="s">
        <v>4</v>
      </c>
      <c r="B80" s="17" t="s">
        <v>2</v>
      </c>
      <c r="C80" s="139">
        <f>'2.Encargos Sociais'!$C$42*100</f>
        <v>74.807000000000002</v>
      </c>
      <c r="D80" s="18">
        <f>E79</f>
        <v>1710.6320000000001</v>
      </c>
      <c r="E80" s="18">
        <f>D80*C80/100</f>
        <v>1279.6724802400001</v>
      </c>
    </row>
    <row r="81" spans="1:7">
      <c r="A81" s="116" t="s">
        <v>76</v>
      </c>
      <c r="B81" s="117"/>
      <c r="C81" s="117"/>
      <c r="D81" s="118"/>
      <c r="E81" s="119">
        <f>E79+E80</f>
        <v>2990.30448024</v>
      </c>
    </row>
    <row r="82" spans="1:7" ht="13.5" thickBot="1">
      <c r="A82" s="16" t="s">
        <v>5</v>
      </c>
      <c r="B82" s="17" t="s">
        <v>6</v>
      </c>
      <c r="C82" s="86"/>
      <c r="D82" s="18">
        <f>E81</f>
        <v>2990.30448024</v>
      </c>
      <c r="E82" s="18">
        <f>C82*D82</f>
        <v>0</v>
      </c>
    </row>
    <row r="83" spans="1:7" ht="13.5" thickBot="1">
      <c r="D83" s="123" t="s">
        <v>209</v>
      </c>
      <c r="E83" s="50">
        <f>$B$49</f>
        <v>0.3009090909090909</v>
      </c>
      <c r="F83" s="124">
        <f>E82*E83</f>
        <v>0</v>
      </c>
    </row>
    <row r="84" spans="1:7" ht="11.25" customHeight="1"/>
    <row r="85" spans="1:7" ht="13.5" thickBot="1">
      <c r="A85" s="9" t="s">
        <v>106</v>
      </c>
    </row>
    <row r="86" spans="1:7" s="12" customFormat="1" ht="13.15" customHeight="1" thickBot="1">
      <c r="A86" s="60" t="s">
        <v>66</v>
      </c>
      <c r="B86" s="61" t="s">
        <v>67</v>
      </c>
      <c r="C86" s="61" t="s">
        <v>42</v>
      </c>
      <c r="D86" s="62" t="s">
        <v>252</v>
      </c>
      <c r="E86" s="62" t="s">
        <v>68</v>
      </c>
      <c r="F86" s="63" t="s">
        <v>69</v>
      </c>
      <c r="G86" s="10"/>
    </row>
    <row r="87" spans="1:7">
      <c r="A87" s="13" t="s">
        <v>228</v>
      </c>
      <c r="B87" s="14" t="s">
        <v>8</v>
      </c>
      <c r="C87" s="14">
        <v>1</v>
      </c>
      <c r="D87" s="87">
        <v>1674</v>
      </c>
      <c r="E87" s="15">
        <f>C87*D87</f>
        <v>1674</v>
      </c>
    </row>
    <row r="88" spans="1:7">
      <c r="A88" s="13" t="s">
        <v>229</v>
      </c>
      <c r="B88" s="14" t="s">
        <v>8</v>
      </c>
      <c r="C88" s="14">
        <v>1</v>
      </c>
      <c r="D88" s="87">
        <v>937</v>
      </c>
      <c r="E88" s="15"/>
    </row>
    <row r="89" spans="1:7">
      <c r="A89" s="16" t="s">
        <v>36</v>
      </c>
      <c r="B89" s="17" t="s">
        <v>0</v>
      </c>
      <c r="C89" s="88">
        <v>2</v>
      </c>
      <c r="D89" s="18">
        <f>D87/220*2</f>
        <v>15.218181818181819</v>
      </c>
      <c r="E89" s="18">
        <f>C89*D89</f>
        <v>30.436363636363637</v>
      </c>
      <c r="G89" s="10" t="s">
        <v>264</v>
      </c>
    </row>
    <row r="90" spans="1:7">
      <c r="A90" s="16" t="s">
        <v>37</v>
      </c>
      <c r="B90" s="17" t="s">
        <v>0</v>
      </c>
      <c r="C90" s="88">
        <v>0</v>
      </c>
      <c r="D90" s="18">
        <f>D87/220*1.5</f>
        <v>11.413636363636364</v>
      </c>
      <c r="E90" s="18">
        <f>C90*D90</f>
        <v>0</v>
      </c>
      <c r="G90" s="10" t="s">
        <v>266</v>
      </c>
    </row>
    <row r="91" spans="1:7" ht="13.15" customHeight="1">
      <c r="A91" s="16" t="s">
        <v>232</v>
      </c>
      <c r="B91" s="17" t="s">
        <v>35</v>
      </c>
      <c r="D91" s="18">
        <f>63/302*(SUM(E89:E90))</f>
        <v>6.3493076459963884</v>
      </c>
      <c r="E91" s="18">
        <f>D91</f>
        <v>6.3493076459963884</v>
      </c>
      <c r="G91" s="10" t="s">
        <v>231</v>
      </c>
    </row>
    <row r="92" spans="1:7">
      <c r="A92" s="16" t="s">
        <v>227</v>
      </c>
      <c r="B92" s="17"/>
      <c r="C92" s="90">
        <v>2</v>
      </c>
      <c r="D92" s="18"/>
      <c r="E92" s="18"/>
    </row>
    <row r="93" spans="1:7">
      <c r="A93" s="16" t="s">
        <v>1</v>
      </c>
      <c r="B93" s="17" t="s">
        <v>2</v>
      </c>
      <c r="C93" s="86">
        <v>40</v>
      </c>
      <c r="D93" s="83">
        <f>IF(C92=2,SUM(E87:E91),IF(C92=1,(SUM(E87:E91))*D88/D87,0))</f>
        <v>1710.78567128236</v>
      </c>
      <c r="E93" s="18">
        <f>C93*D93/100</f>
        <v>684.31426851294395</v>
      </c>
    </row>
    <row r="94" spans="1:7" s="11" customFormat="1">
      <c r="A94" s="103" t="s">
        <v>3</v>
      </c>
      <c r="B94" s="117"/>
      <c r="C94" s="117"/>
      <c r="D94" s="118"/>
      <c r="E94" s="105">
        <f>SUM(E87:E93)</f>
        <v>2395.0999397953037</v>
      </c>
      <c r="F94" s="44"/>
      <c r="G94" s="44"/>
    </row>
    <row r="95" spans="1:7">
      <c r="A95" s="16" t="s">
        <v>4</v>
      </c>
      <c r="B95" s="17" t="s">
        <v>2</v>
      </c>
      <c r="C95" s="139">
        <f>'2.Encargos Sociais'!$C$42*100</f>
        <v>74.807000000000002</v>
      </c>
      <c r="D95" s="18">
        <f>E94</f>
        <v>2395.0999397953037</v>
      </c>
      <c r="E95" s="18">
        <f>D95*C95/100</f>
        <v>1791.7024119626728</v>
      </c>
    </row>
    <row r="96" spans="1:7" s="11" customFormat="1">
      <c r="A96" s="103" t="s">
        <v>268</v>
      </c>
      <c r="B96" s="268"/>
      <c r="C96" s="268"/>
      <c r="D96" s="269"/>
      <c r="E96" s="105">
        <f>E94+E95</f>
        <v>4186.8023517579768</v>
      </c>
      <c r="F96" s="44"/>
      <c r="G96" s="44"/>
    </row>
    <row r="97" spans="1:7" ht="13.5" thickBot="1">
      <c r="A97" s="16" t="s">
        <v>5</v>
      </c>
      <c r="B97" s="17" t="s">
        <v>6</v>
      </c>
      <c r="C97" s="86">
        <v>1</v>
      </c>
      <c r="D97" s="18">
        <f>E96</f>
        <v>4186.8023517579768</v>
      </c>
      <c r="E97" s="18">
        <f>C97*D97</f>
        <v>4186.8023517579768</v>
      </c>
    </row>
    <row r="98" spans="1:7" ht="13.5" thickBot="1">
      <c r="D98" s="123" t="s">
        <v>209</v>
      </c>
      <c r="E98" s="50">
        <f>$B$49</f>
        <v>0.3009090909090909</v>
      </c>
      <c r="F98" s="124">
        <f>E97*E98</f>
        <v>1259.8468894835366</v>
      </c>
    </row>
    <row r="99" spans="1:7" ht="11.25" customHeight="1"/>
    <row r="100" spans="1:7" ht="13.5" thickBot="1">
      <c r="A100" s="9" t="s">
        <v>107</v>
      </c>
    </row>
    <row r="101" spans="1:7" ht="13.5" thickBot="1">
      <c r="A101" s="60" t="s">
        <v>66</v>
      </c>
      <c r="B101" s="61" t="s">
        <v>67</v>
      </c>
      <c r="C101" s="61" t="s">
        <v>42</v>
      </c>
      <c r="D101" s="62" t="s">
        <v>252</v>
      </c>
      <c r="E101" s="62" t="s">
        <v>68</v>
      </c>
      <c r="F101" s="63" t="s">
        <v>69</v>
      </c>
    </row>
    <row r="102" spans="1:7">
      <c r="A102" s="13" t="s">
        <v>225</v>
      </c>
      <c r="B102" s="14" t="s">
        <v>8</v>
      </c>
      <c r="C102" s="14">
        <v>1</v>
      </c>
      <c r="D102" s="15">
        <f>D87</f>
        <v>1674</v>
      </c>
      <c r="E102" s="15">
        <f>C102*D102</f>
        <v>1674</v>
      </c>
    </row>
    <row r="103" spans="1:7">
      <c r="A103" s="13" t="s">
        <v>226</v>
      </c>
      <c r="B103" s="14" t="s">
        <v>8</v>
      </c>
      <c r="C103" s="14">
        <v>1</v>
      </c>
      <c r="D103" s="18">
        <f>D88</f>
        <v>937</v>
      </c>
      <c r="E103" s="18"/>
    </row>
    <row r="104" spans="1:7">
      <c r="A104" s="16" t="s">
        <v>7</v>
      </c>
      <c r="B104" s="17" t="s">
        <v>103</v>
      </c>
      <c r="C104" s="88"/>
      <c r="D104" s="16"/>
      <c r="E104" s="16"/>
    </row>
    <row r="105" spans="1:7">
      <c r="A105" s="16"/>
      <c r="B105" s="17" t="s">
        <v>108</v>
      </c>
      <c r="C105" s="18">
        <f>C104*8/7</f>
        <v>0</v>
      </c>
      <c r="D105" s="18">
        <f>D102/220*0.2</f>
        <v>1.521818181818182</v>
      </c>
      <c r="E105" s="18">
        <f>C104*D105</f>
        <v>0</v>
      </c>
    </row>
    <row r="106" spans="1:7">
      <c r="A106" s="16" t="s">
        <v>36</v>
      </c>
      <c r="B106" s="17" t="s">
        <v>0</v>
      </c>
      <c r="C106" s="88"/>
      <c r="D106" s="18">
        <f>D102/220*2</f>
        <v>15.218181818181819</v>
      </c>
      <c r="E106" s="18">
        <f>C106*D106</f>
        <v>0</v>
      </c>
      <c r="G106" s="10" t="s">
        <v>264</v>
      </c>
    </row>
    <row r="107" spans="1:7">
      <c r="A107" s="16" t="s">
        <v>104</v>
      </c>
      <c r="B107" s="17" t="s">
        <v>103</v>
      </c>
      <c r="C107" s="88"/>
      <c r="D107" s="18"/>
      <c r="E107" s="18"/>
      <c r="G107" s="10" t="s">
        <v>265</v>
      </c>
    </row>
    <row r="108" spans="1:7">
      <c r="A108" s="16"/>
      <c r="B108" s="17" t="s">
        <v>108</v>
      </c>
      <c r="C108" s="18">
        <f>C107*8/7</f>
        <v>0</v>
      </c>
      <c r="D108" s="18">
        <f>D102/220*2*1.2</f>
        <v>18.261818181818182</v>
      </c>
      <c r="E108" s="18">
        <f>C108*D108</f>
        <v>0</v>
      </c>
      <c r="G108" s="10" t="s">
        <v>265</v>
      </c>
    </row>
    <row r="109" spans="1:7">
      <c r="A109" s="16" t="s">
        <v>37</v>
      </c>
      <c r="B109" s="17" t="s">
        <v>0</v>
      </c>
      <c r="C109" s="88"/>
      <c r="D109" s="18">
        <f>D102/220*1.5</f>
        <v>11.413636363636364</v>
      </c>
      <c r="E109" s="18">
        <f>C109*D109</f>
        <v>0</v>
      </c>
      <c r="G109" s="10" t="s">
        <v>266</v>
      </c>
    </row>
    <row r="110" spans="1:7">
      <c r="A110" s="16" t="s">
        <v>230</v>
      </c>
      <c r="B110" s="17" t="s">
        <v>103</v>
      </c>
      <c r="C110" s="88"/>
      <c r="D110" s="18"/>
      <c r="E110" s="18"/>
      <c r="G110" s="10" t="s">
        <v>267</v>
      </c>
    </row>
    <row r="111" spans="1:7">
      <c r="A111" s="16"/>
      <c r="B111" s="17" t="s">
        <v>108</v>
      </c>
      <c r="C111" s="18">
        <f>C110*8/7</f>
        <v>0</v>
      </c>
      <c r="D111" s="18">
        <f>D102/220*1.5*1.2</f>
        <v>13.696363636363637</v>
      </c>
      <c r="E111" s="18">
        <f>C111*D111</f>
        <v>0</v>
      </c>
      <c r="G111" s="10" t="s">
        <v>267</v>
      </c>
    </row>
    <row r="112" spans="1:7" ht="13.15" customHeight="1">
      <c r="A112" s="16" t="s">
        <v>232</v>
      </c>
      <c r="B112" s="17" t="s">
        <v>35</v>
      </c>
      <c r="D112" s="18">
        <f>63/302*(SUM(E106:E111))</f>
        <v>0</v>
      </c>
      <c r="E112" s="18">
        <f>D112</f>
        <v>0</v>
      </c>
      <c r="G112" s="10" t="s">
        <v>231</v>
      </c>
    </row>
    <row r="113" spans="1:7">
      <c r="A113" s="16" t="s">
        <v>227</v>
      </c>
      <c r="B113" s="17"/>
      <c r="C113" s="90"/>
      <c r="D113" s="18"/>
      <c r="E113" s="18"/>
    </row>
    <row r="114" spans="1:7">
      <c r="A114" s="16" t="s">
        <v>1</v>
      </c>
      <c r="B114" s="17" t="s">
        <v>2</v>
      </c>
      <c r="C114" s="83">
        <f>+C93</f>
        <v>40</v>
      </c>
      <c r="D114" s="83">
        <f>IF(C113=2,SUM(E102:E112),IF(C113=1,SUM(E102:E112)*D103/D102,0))</f>
        <v>0</v>
      </c>
      <c r="E114" s="18">
        <f>C114*D114/100</f>
        <v>0</v>
      </c>
    </row>
    <row r="115" spans="1:7" s="11" customFormat="1">
      <c r="A115" s="116" t="s">
        <v>3</v>
      </c>
      <c r="B115" s="117"/>
      <c r="C115" s="117"/>
      <c r="D115" s="118"/>
      <c r="E115" s="119">
        <f>SUM(E102:E114)</f>
        <v>1674</v>
      </c>
      <c r="F115" s="44"/>
      <c r="G115" s="44"/>
    </row>
    <row r="116" spans="1:7">
      <c r="A116" s="16" t="s">
        <v>4</v>
      </c>
      <c r="B116" s="17" t="s">
        <v>2</v>
      </c>
      <c r="C116" s="139">
        <f>'2.Encargos Sociais'!$C$42*100</f>
        <v>74.807000000000002</v>
      </c>
      <c r="D116" s="18">
        <f>E115</f>
        <v>1674</v>
      </c>
      <c r="E116" s="18">
        <f>D116*C116/100</f>
        <v>1252.26918</v>
      </c>
    </row>
    <row r="117" spans="1:7" s="11" customFormat="1">
      <c r="A117" s="116" t="s">
        <v>268</v>
      </c>
      <c r="B117" s="117"/>
      <c r="C117" s="117"/>
      <c r="D117" s="118"/>
      <c r="E117" s="119">
        <f>E115+E116</f>
        <v>2926.2691800000002</v>
      </c>
      <c r="F117" s="44"/>
      <c r="G117" s="44"/>
    </row>
    <row r="118" spans="1:7" ht="13.5" thickBot="1">
      <c r="A118" s="16" t="s">
        <v>5</v>
      </c>
      <c r="B118" s="17" t="s">
        <v>6</v>
      </c>
      <c r="C118" s="86"/>
      <c r="D118" s="18">
        <f>E117</f>
        <v>2926.2691800000002</v>
      </c>
      <c r="E118" s="18">
        <f>C118*D118</f>
        <v>0</v>
      </c>
    </row>
    <row r="119" spans="1:7" ht="13.5" thickBot="1">
      <c r="D119" s="123" t="s">
        <v>209</v>
      </c>
      <c r="E119" s="50">
        <f>$B$49</f>
        <v>0.3009090909090909</v>
      </c>
      <c r="F119" s="124">
        <f>E118*E119</f>
        <v>0</v>
      </c>
    </row>
    <row r="120" spans="1:7" ht="11.25" customHeight="1">
      <c r="G120" s="9"/>
    </row>
    <row r="121" spans="1:7" ht="13.5" thickBot="1">
      <c r="A121" s="9" t="s">
        <v>109</v>
      </c>
      <c r="B121" s="93"/>
      <c r="D121" s="9"/>
      <c r="E121" s="9"/>
      <c r="G121" s="9"/>
    </row>
    <row r="122" spans="1:7" ht="13.5" thickBot="1">
      <c r="A122" s="60" t="s">
        <v>66</v>
      </c>
      <c r="B122" s="61" t="s">
        <v>67</v>
      </c>
      <c r="C122" s="61" t="s">
        <v>42</v>
      </c>
      <c r="D122" s="62" t="s">
        <v>252</v>
      </c>
      <c r="E122" s="62" t="s">
        <v>68</v>
      </c>
      <c r="F122" s="63" t="s">
        <v>69</v>
      </c>
      <c r="G122" s="9"/>
    </row>
    <row r="123" spans="1:7">
      <c r="A123" s="16" t="s">
        <v>96</v>
      </c>
      <c r="B123" s="17" t="s">
        <v>35</v>
      </c>
      <c r="C123" s="94">
        <v>1</v>
      </c>
      <c r="D123" s="92">
        <v>3.9</v>
      </c>
      <c r="E123" s="18"/>
      <c r="G123" s="9"/>
    </row>
    <row r="124" spans="1:7">
      <c r="A124" s="16" t="s">
        <v>97</v>
      </c>
      <c r="B124" s="17" t="s">
        <v>98</v>
      </c>
      <c r="C124" s="91">
        <v>8</v>
      </c>
      <c r="D124" s="18"/>
      <c r="E124" s="18"/>
      <c r="G124" s="9"/>
    </row>
    <row r="125" spans="1:7">
      <c r="A125" s="16" t="s">
        <v>77</v>
      </c>
      <c r="B125" s="17" t="s">
        <v>9</v>
      </c>
      <c r="C125" s="37">
        <f>$C$124*2*(C63+C82)</f>
        <v>32</v>
      </c>
      <c r="D125" s="15">
        <f>IFERROR((($C$124*2*$D$123)-(E55*0.06))/($C$124*2),"-")</f>
        <v>-0.68205000000000071</v>
      </c>
      <c r="E125" s="18">
        <f>IFERROR(C125*D125,"-")</f>
        <v>-21.825600000000023</v>
      </c>
      <c r="G125" s="9"/>
    </row>
    <row r="126" spans="1:7" ht="13.5" thickBot="1">
      <c r="A126" s="13" t="s">
        <v>46</v>
      </c>
      <c r="B126" s="14" t="s">
        <v>9</v>
      </c>
      <c r="C126" s="37">
        <f>$C$124*2*(C97+C118)</f>
        <v>16</v>
      </c>
      <c r="D126" s="15">
        <f>IFERROR((($C$124*2*$D$123)-(E87*0.06))/($C$124*2),"-")</f>
        <v>-2.3774999999999999</v>
      </c>
      <c r="E126" s="15">
        <f>IFERROR(C126*D126,"-")</f>
        <v>-38.04</v>
      </c>
      <c r="G126" s="9"/>
    </row>
    <row r="127" spans="1:7" ht="13.5" thickBot="1">
      <c r="F127" s="22">
        <f>SUM(E125:E126)</f>
        <v>-59.865600000000022</v>
      </c>
      <c r="G127" s="9"/>
    </row>
    <row r="128" spans="1:7" ht="11.25" customHeight="1">
      <c r="G128" s="9"/>
    </row>
    <row r="129" spans="1:7" ht="13.5" thickBot="1">
      <c r="A129" s="9" t="s">
        <v>132</v>
      </c>
      <c r="F129" s="23"/>
      <c r="G129" s="9"/>
    </row>
    <row r="130" spans="1:7" ht="13.5" thickBot="1">
      <c r="A130" s="60" t="s">
        <v>66</v>
      </c>
      <c r="B130" s="61" t="s">
        <v>67</v>
      </c>
      <c r="C130" s="61" t="s">
        <v>42</v>
      </c>
      <c r="D130" s="62" t="s">
        <v>252</v>
      </c>
      <c r="E130" s="62" t="s">
        <v>68</v>
      </c>
      <c r="F130" s="63" t="s">
        <v>69</v>
      </c>
      <c r="G130" s="9"/>
    </row>
    <row r="131" spans="1:7">
      <c r="A131" s="16" t="str">
        <f>+A125</f>
        <v>Coletor</v>
      </c>
      <c r="B131" s="17" t="s">
        <v>10</v>
      </c>
      <c r="C131" s="102">
        <f>C124*(E39+E40)</f>
        <v>16</v>
      </c>
      <c r="D131" s="95">
        <v>24</v>
      </c>
      <c r="E131" s="50">
        <f>C131*D131</f>
        <v>384</v>
      </c>
      <c r="F131" s="23"/>
      <c r="G131" s="9"/>
    </row>
    <row r="132" spans="1:7" ht="13.5" thickBot="1">
      <c r="A132" s="16" t="str">
        <f>+A126</f>
        <v>Motorista</v>
      </c>
      <c r="B132" s="17" t="s">
        <v>10</v>
      </c>
      <c r="C132" s="102">
        <f>C124*(E41+E42)</f>
        <v>8</v>
      </c>
      <c r="D132" s="308">
        <v>33.5</v>
      </c>
      <c r="E132" s="50">
        <f>C132*D132</f>
        <v>268</v>
      </c>
      <c r="F132" s="23"/>
      <c r="G132" s="9"/>
    </row>
    <row r="133" spans="1:7" ht="13.5" thickBot="1">
      <c r="F133" s="22">
        <f>SUM(E131:E132)</f>
        <v>652</v>
      </c>
      <c r="G133" s="9"/>
    </row>
    <row r="134" spans="1:7">
      <c r="G134" s="9"/>
    </row>
    <row r="135" spans="1:7" ht="13.5" thickBot="1">
      <c r="A135" s="9" t="s">
        <v>133</v>
      </c>
      <c r="F135" s="23"/>
      <c r="G135" s="9"/>
    </row>
    <row r="136" spans="1:7" ht="13.5" thickBot="1">
      <c r="A136" s="60" t="s">
        <v>66</v>
      </c>
      <c r="B136" s="61" t="s">
        <v>67</v>
      </c>
      <c r="C136" s="61" t="s">
        <v>42</v>
      </c>
      <c r="D136" s="62" t="s">
        <v>252</v>
      </c>
      <c r="E136" s="62" t="s">
        <v>68</v>
      </c>
      <c r="F136" s="63" t="s">
        <v>69</v>
      </c>
      <c r="G136" s="9"/>
    </row>
    <row r="137" spans="1:7">
      <c r="A137" s="16" t="str">
        <f>+A131</f>
        <v>Coletor</v>
      </c>
      <c r="B137" s="17" t="s">
        <v>10</v>
      </c>
      <c r="C137" s="102">
        <f>E39+E40</f>
        <v>2</v>
      </c>
      <c r="D137" s="95">
        <v>0</v>
      </c>
      <c r="E137" s="50">
        <f>C137*D137</f>
        <v>0</v>
      </c>
      <c r="F137" s="23"/>
      <c r="G137" s="9"/>
    </row>
    <row r="138" spans="1:7" ht="13.5" thickBot="1">
      <c r="A138" s="16" t="str">
        <f>+A132</f>
        <v>Motorista</v>
      </c>
      <c r="B138" s="17" t="s">
        <v>10</v>
      </c>
      <c r="C138" s="102">
        <f>E41+E42</f>
        <v>1</v>
      </c>
      <c r="D138" s="95">
        <v>0</v>
      </c>
      <c r="E138" s="50">
        <f>C138*D138</f>
        <v>0</v>
      </c>
      <c r="F138" s="23"/>
      <c r="G138" s="9"/>
    </row>
    <row r="139" spans="1:7" ht="13.5" thickBot="1">
      <c r="D139" s="123" t="s">
        <v>209</v>
      </c>
      <c r="E139" s="50">
        <f>$B$49</f>
        <v>0.3009090909090909</v>
      </c>
      <c r="F139" s="22">
        <f>SUM(E137:E138)*E139</f>
        <v>0</v>
      </c>
      <c r="G139" s="9"/>
    </row>
    <row r="140" spans="1:7" ht="13.5" thickBot="1">
      <c r="G140" s="9"/>
    </row>
    <row r="141" spans="1:7" ht="13.5" thickBot="1">
      <c r="A141" s="24" t="s">
        <v>99</v>
      </c>
      <c r="B141" s="25"/>
      <c r="C141" s="25"/>
      <c r="D141" s="26"/>
      <c r="E141" s="27"/>
      <c r="F141" s="22">
        <f>F139+F133+F127+F119+F98+F83+F64</f>
        <v>3691.1470210512116</v>
      </c>
      <c r="G141" s="9"/>
    </row>
    <row r="143" spans="1:7">
      <c r="A143" s="11" t="s">
        <v>47</v>
      </c>
      <c r="G143" s="9"/>
    </row>
    <row r="144" spans="1:7" ht="11.25" customHeight="1">
      <c r="G144" s="9"/>
    </row>
    <row r="145" spans="1:7" ht="13.9" customHeight="1">
      <c r="A145" s="9" t="s">
        <v>211</v>
      </c>
      <c r="G145" s="9"/>
    </row>
    <row r="146" spans="1:7" ht="11.25" customHeight="1" thickBot="1">
      <c r="G146" s="9"/>
    </row>
    <row r="147" spans="1:7" ht="27.75" customHeight="1" thickBot="1">
      <c r="A147" s="60" t="s">
        <v>66</v>
      </c>
      <c r="B147" s="61" t="s">
        <v>67</v>
      </c>
      <c r="C147" s="270" t="s">
        <v>269</v>
      </c>
      <c r="D147" s="62" t="s">
        <v>252</v>
      </c>
      <c r="E147" s="62" t="s">
        <v>68</v>
      </c>
      <c r="F147" s="63" t="s">
        <v>69</v>
      </c>
      <c r="G147" s="9"/>
    </row>
    <row r="148" spans="1:7">
      <c r="A148" s="13" t="s">
        <v>70</v>
      </c>
      <c r="B148" s="14" t="s">
        <v>10</v>
      </c>
      <c r="C148" s="101">
        <v>6</v>
      </c>
      <c r="D148" s="87">
        <v>73.98</v>
      </c>
      <c r="E148" s="15">
        <f>IFERROR(D148/C148,0)</f>
        <v>12.33</v>
      </c>
      <c r="G148" s="9"/>
    </row>
    <row r="149" spans="1:7" ht="13.15" customHeight="1">
      <c r="A149" s="16" t="s">
        <v>30</v>
      </c>
      <c r="B149" s="17" t="s">
        <v>10</v>
      </c>
      <c r="C149" s="101">
        <v>3</v>
      </c>
      <c r="D149" s="87">
        <v>53.99</v>
      </c>
      <c r="E149" s="15">
        <f t="shared" ref="E149:E157" si="1">IFERROR(D149/C149,0)</f>
        <v>17.996666666666666</v>
      </c>
      <c r="G149" s="9"/>
    </row>
    <row r="150" spans="1:7">
      <c r="A150" s="16" t="s">
        <v>31</v>
      </c>
      <c r="B150" s="17" t="s">
        <v>10</v>
      </c>
      <c r="C150" s="101">
        <v>3</v>
      </c>
      <c r="D150" s="87">
        <v>13.99</v>
      </c>
      <c r="E150" s="15">
        <f t="shared" si="1"/>
        <v>4.6633333333333331</v>
      </c>
      <c r="G150" s="9"/>
    </row>
    <row r="151" spans="1:7" ht="13.15" customHeight="1">
      <c r="A151" s="16" t="s">
        <v>32</v>
      </c>
      <c r="B151" s="17" t="s">
        <v>10</v>
      </c>
      <c r="C151" s="101">
        <v>6</v>
      </c>
      <c r="D151" s="87">
        <v>16.989999999999998</v>
      </c>
      <c r="E151" s="15">
        <f t="shared" si="1"/>
        <v>2.8316666666666666</v>
      </c>
      <c r="G151" s="9"/>
    </row>
    <row r="152" spans="1:7" ht="13.9" customHeight="1">
      <c r="A152" s="16" t="s">
        <v>72</v>
      </c>
      <c r="B152" s="17" t="s">
        <v>50</v>
      </c>
      <c r="C152" s="101">
        <v>3</v>
      </c>
      <c r="D152" s="87">
        <v>29.99</v>
      </c>
      <c r="E152" s="15">
        <f t="shared" si="1"/>
        <v>9.9966666666666661</v>
      </c>
      <c r="G152" s="9"/>
    </row>
    <row r="153" spans="1:7" ht="13.15" customHeight="1">
      <c r="A153" s="16" t="s">
        <v>100</v>
      </c>
      <c r="B153" s="17" t="s">
        <v>50</v>
      </c>
      <c r="C153" s="101">
        <v>3</v>
      </c>
      <c r="D153" s="87">
        <v>7.8</v>
      </c>
      <c r="E153" s="15">
        <f t="shared" si="1"/>
        <v>2.6</v>
      </c>
    </row>
    <row r="154" spans="1:7">
      <c r="A154" s="16" t="s">
        <v>71</v>
      </c>
      <c r="B154" s="17" t="s">
        <v>10</v>
      </c>
      <c r="C154" s="101">
        <v>6</v>
      </c>
      <c r="D154" s="87">
        <v>33.979999999999997</v>
      </c>
      <c r="E154" s="15">
        <f t="shared" si="1"/>
        <v>5.6633333333333331</v>
      </c>
    </row>
    <row r="155" spans="1:7" s="1" customFormat="1">
      <c r="A155" s="2" t="s">
        <v>11</v>
      </c>
      <c r="B155" s="3" t="s">
        <v>10</v>
      </c>
      <c r="C155" s="101">
        <v>6</v>
      </c>
      <c r="D155" s="87">
        <v>32.99</v>
      </c>
      <c r="E155" s="15">
        <f t="shared" si="1"/>
        <v>5.498333333333334</v>
      </c>
      <c r="F155" s="38"/>
      <c r="G155" s="38"/>
    </row>
    <row r="156" spans="1:7">
      <c r="A156" s="16" t="s">
        <v>33</v>
      </c>
      <c r="B156" s="17" t="s">
        <v>50</v>
      </c>
      <c r="C156" s="101">
        <v>1</v>
      </c>
      <c r="D156" s="87">
        <v>9.99</v>
      </c>
      <c r="E156" s="15">
        <f t="shared" si="1"/>
        <v>9.99</v>
      </c>
    </row>
    <row r="157" spans="1:7" ht="13.15" customHeight="1">
      <c r="A157" s="16" t="s">
        <v>65</v>
      </c>
      <c r="B157" s="17" t="s">
        <v>51</v>
      </c>
      <c r="C157" s="101">
        <v>1</v>
      </c>
      <c r="D157" s="87">
        <v>9.99</v>
      </c>
      <c r="E157" s="15">
        <f t="shared" si="1"/>
        <v>9.99</v>
      </c>
    </row>
    <row r="158" spans="1:7">
      <c r="A158" s="16" t="s">
        <v>212</v>
      </c>
      <c r="B158" s="17" t="s">
        <v>134</v>
      </c>
      <c r="C158" s="121">
        <v>1</v>
      </c>
      <c r="D158" s="87">
        <v>40</v>
      </c>
      <c r="E158" s="18">
        <f t="shared" ref="E158:E159" si="2">C158*D158</f>
        <v>40</v>
      </c>
    </row>
    <row r="159" spans="1:7" ht="13.5" thickBot="1">
      <c r="A159" s="16" t="s">
        <v>5</v>
      </c>
      <c r="B159" s="17" t="s">
        <v>6</v>
      </c>
      <c r="C159" s="69">
        <f>E39+E40</f>
        <v>2</v>
      </c>
      <c r="D159" s="18">
        <f>+SUM(E148:E158)</f>
        <v>121.55999999999999</v>
      </c>
      <c r="E159" s="18">
        <f t="shared" si="2"/>
        <v>243.11999999999998</v>
      </c>
    </row>
    <row r="160" spans="1:7" ht="13.5" thickBot="1">
      <c r="D160" s="123" t="s">
        <v>209</v>
      </c>
      <c r="E160" s="50">
        <f>$B$49</f>
        <v>0.3009090909090909</v>
      </c>
      <c r="F160" s="124">
        <f>E159*E160</f>
        <v>73.157018181818174</v>
      </c>
    </row>
    <row r="161" spans="1:7" ht="11.25" customHeight="1"/>
    <row r="162" spans="1:7" ht="13.9" customHeight="1">
      <c r="A162" s="9" t="s">
        <v>213</v>
      </c>
    </row>
    <row r="163" spans="1:7" ht="11.25" customHeight="1" thickBot="1"/>
    <row r="164" spans="1:7" ht="24.75" thickBot="1">
      <c r="A164" s="60" t="s">
        <v>66</v>
      </c>
      <c r="B164" s="61" t="s">
        <v>67</v>
      </c>
      <c r="C164" s="270" t="s">
        <v>269</v>
      </c>
      <c r="D164" s="62" t="s">
        <v>252</v>
      </c>
      <c r="E164" s="62" t="s">
        <v>68</v>
      </c>
      <c r="F164" s="63" t="s">
        <v>69</v>
      </c>
    </row>
    <row r="165" spans="1:7">
      <c r="A165" s="13" t="s">
        <v>70</v>
      </c>
      <c r="B165" s="14" t="s">
        <v>10</v>
      </c>
      <c r="C165" s="101">
        <v>6</v>
      </c>
      <c r="D165" s="15">
        <f>+D148</f>
        <v>73.98</v>
      </c>
      <c r="E165" s="15">
        <f>IFERROR(D165/C165,0)</f>
        <v>12.33</v>
      </c>
    </row>
    <row r="166" spans="1:7">
      <c r="A166" s="16" t="s">
        <v>30</v>
      </c>
      <c r="B166" s="17" t="s">
        <v>10</v>
      </c>
      <c r="C166" s="101">
        <v>6</v>
      </c>
      <c r="D166" s="18">
        <f>+D149</f>
        <v>53.99</v>
      </c>
      <c r="E166" s="15">
        <f t="shared" ref="E166:E170" si="3">IFERROR(D166/C166,0)</f>
        <v>8.9983333333333331</v>
      </c>
    </row>
    <row r="167" spans="1:7">
      <c r="A167" s="16" t="s">
        <v>31</v>
      </c>
      <c r="B167" s="17" t="s">
        <v>10</v>
      </c>
      <c r="C167" s="101">
        <v>4</v>
      </c>
      <c r="D167" s="18">
        <f>+D150</f>
        <v>13.99</v>
      </c>
      <c r="E167" s="15">
        <f t="shared" si="3"/>
        <v>3.4975000000000001</v>
      </c>
    </row>
    <row r="168" spans="1:7">
      <c r="A168" s="16" t="s">
        <v>72</v>
      </c>
      <c r="B168" s="17" t="s">
        <v>50</v>
      </c>
      <c r="C168" s="101">
        <v>4</v>
      </c>
      <c r="D168" s="18">
        <f>+D152</f>
        <v>29.99</v>
      </c>
      <c r="E168" s="15">
        <f t="shared" si="3"/>
        <v>7.4974999999999996</v>
      </c>
    </row>
    <row r="169" spans="1:7">
      <c r="A169" s="16" t="s">
        <v>71</v>
      </c>
      <c r="B169" s="17" t="s">
        <v>10</v>
      </c>
      <c r="C169" s="101">
        <v>6</v>
      </c>
      <c r="D169" s="18">
        <f>+D154</f>
        <v>33.979999999999997</v>
      </c>
      <c r="E169" s="15">
        <f t="shared" si="3"/>
        <v>5.6633333333333331</v>
      </c>
      <c r="G169" s="9"/>
    </row>
    <row r="170" spans="1:7">
      <c r="A170" s="16" t="s">
        <v>65</v>
      </c>
      <c r="B170" s="17" t="s">
        <v>51</v>
      </c>
      <c r="C170" s="101">
        <v>2</v>
      </c>
      <c r="D170" s="18">
        <f>+D157</f>
        <v>9.99</v>
      </c>
      <c r="E170" s="15">
        <f t="shared" si="3"/>
        <v>4.9950000000000001</v>
      </c>
      <c r="G170" s="9"/>
    </row>
    <row r="171" spans="1:7">
      <c r="A171" s="16" t="s">
        <v>212</v>
      </c>
      <c r="B171" s="17" t="s">
        <v>134</v>
      </c>
      <c r="C171" s="121">
        <v>1</v>
      </c>
      <c r="D171" s="87">
        <v>50</v>
      </c>
      <c r="E171" s="18">
        <f t="shared" ref="E171:E172" si="4">C171*D171</f>
        <v>50</v>
      </c>
      <c r="G171" s="9"/>
    </row>
    <row r="172" spans="1:7" ht="13.5" thickBot="1">
      <c r="A172" s="16" t="s">
        <v>5</v>
      </c>
      <c r="B172" s="17" t="s">
        <v>6</v>
      </c>
      <c r="C172" s="69">
        <f>E41+E42</f>
        <v>1</v>
      </c>
      <c r="D172" s="18">
        <f>+SUM(E165:E171)</f>
        <v>92.981666666666655</v>
      </c>
      <c r="E172" s="18">
        <f t="shared" si="4"/>
        <v>92.981666666666655</v>
      </c>
      <c r="G172" s="9"/>
    </row>
    <row r="173" spans="1:7" ht="13.5" thickBot="1">
      <c r="D173" s="123" t="s">
        <v>209</v>
      </c>
      <c r="E173" s="50">
        <f>$B$49</f>
        <v>0.3009090909090909</v>
      </c>
      <c r="F173" s="124">
        <f>E172*E173</f>
        <v>27.979028787878782</v>
      </c>
      <c r="G173" s="9"/>
    </row>
    <row r="174" spans="1:7" ht="11.25" customHeight="1" thickBot="1">
      <c r="G174" s="9"/>
    </row>
    <row r="175" spans="1:7" ht="13.5" thickBot="1">
      <c r="A175" s="24" t="s">
        <v>214</v>
      </c>
      <c r="B175" s="28"/>
      <c r="C175" s="28"/>
      <c r="D175" s="29"/>
      <c r="E175" s="30"/>
      <c r="F175" s="21">
        <f>+F160+F173</f>
        <v>101.13604696969696</v>
      </c>
      <c r="G175" s="9"/>
    </row>
    <row r="176" spans="1:7" ht="11.25" customHeight="1">
      <c r="G176" s="9"/>
    </row>
    <row r="177" spans="1:10">
      <c r="A177" s="11" t="s">
        <v>56</v>
      </c>
      <c r="G177" s="9"/>
    </row>
    <row r="178" spans="1:10" ht="11.25" customHeight="1">
      <c r="B178" s="107"/>
      <c r="G178" s="9"/>
    </row>
    <row r="179" spans="1:10">
      <c r="A179" s="7" t="s">
        <v>313</v>
      </c>
      <c r="G179" s="9"/>
    </row>
    <row r="180" spans="1:10" ht="11.25" customHeight="1">
      <c r="G180" s="9"/>
    </row>
    <row r="181" spans="1:10" ht="13.5" thickBot="1">
      <c r="A181" s="107" t="s">
        <v>48</v>
      </c>
      <c r="G181" s="9"/>
    </row>
    <row r="182" spans="1:10" ht="13.5" thickBot="1">
      <c r="A182" s="60" t="s">
        <v>66</v>
      </c>
      <c r="B182" s="61" t="s">
        <v>67</v>
      </c>
      <c r="C182" s="61" t="s">
        <v>42</v>
      </c>
      <c r="D182" s="62" t="s">
        <v>252</v>
      </c>
      <c r="E182" s="62" t="s">
        <v>68</v>
      </c>
      <c r="F182" s="63" t="s">
        <v>69</v>
      </c>
      <c r="G182" s="9"/>
    </row>
    <row r="183" spans="1:10">
      <c r="A183" s="13" t="s">
        <v>116</v>
      </c>
      <c r="B183" s="14" t="s">
        <v>10</v>
      </c>
      <c r="C183" s="276">
        <v>1</v>
      </c>
      <c r="D183" s="87">
        <v>125298.66</v>
      </c>
      <c r="E183" s="15">
        <f>C183*D183</f>
        <v>125298.66</v>
      </c>
      <c r="G183" s="9"/>
    </row>
    <row r="184" spans="1:10">
      <c r="A184" s="16" t="s">
        <v>110</v>
      </c>
      <c r="B184" s="17" t="s">
        <v>111</v>
      </c>
      <c r="C184" s="86">
        <v>10</v>
      </c>
      <c r="D184" s="83"/>
      <c r="E184" s="18"/>
      <c r="G184" s="9"/>
    </row>
    <row r="185" spans="1:10">
      <c r="A185" s="16" t="s">
        <v>220</v>
      </c>
      <c r="B185" s="17" t="s">
        <v>111</v>
      </c>
      <c r="C185" s="86">
        <v>1</v>
      </c>
      <c r="D185" s="18"/>
      <c r="E185" s="18"/>
      <c r="F185" s="20"/>
      <c r="I185" s="85"/>
      <c r="J185" s="85"/>
    </row>
    <row r="186" spans="1:10">
      <c r="A186" s="16" t="s">
        <v>114</v>
      </c>
      <c r="B186" s="17" t="s">
        <v>2</v>
      </c>
      <c r="C186" s="139">
        <f>IFERROR(VLOOKUP(C184,'5. Depreciação'!A11:B25,2,FALSE),0)</f>
        <v>65.180000000000007</v>
      </c>
      <c r="D186" s="18">
        <f>E183</f>
        <v>125298.66</v>
      </c>
      <c r="E186" s="18">
        <f>C186*D186/100</f>
        <v>81669.666588000007</v>
      </c>
    </row>
    <row r="187" spans="1:10" ht="13.5" thickBot="1">
      <c r="A187" s="282" t="s">
        <v>52</v>
      </c>
      <c r="B187" s="283" t="s">
        <v>8</v>
      </c>
      <c r="C187" s="283">
        <f>C184*12</f>
        <v>120</v>
      </c>
      <c r="D187" s="284">
        <f>IF(C185&lt;=C184,E186,0)</f>
        <v>81669.666588000007</v>
      </c>
      <c r="E187" s="284">
        <f>IFERROR(D187/C187,0)</f>
        <v>680.58055490000004</v>
      </c>
    </row>
    <row r="188" spans="1:10" ht="13.5" thickTop="1">
      <c r="A188" s="13" t="s">
        <v>115</v>
      </c>
      <c r="B188" s="14" t="s">
        <v>10</v>
      </c>
      <c r="C188" s="14">
        <f>C183</f>
        <v>1</v>
      </c>
      <c r="D188" s="87">
        <v>70800</v>
      </c>
      <c r="E188" s="15">
        <f>C188*D188</f>
        <v>70800</v>
      </c>
      <c r="G188" s="9"/>
    </row>
    <row r="189" spans="1:10">
      <c r="A189" s="16" t="s">
        <v>112</v>
      </c>
      <c r="B189" s="17" t="s">
        <v>111</v>
      </c>
      <c r="C189" s="86">
        <v>10</v>
      </c>
      <c r="D189" s="18"/>
      <c r="E189" s="18"/>
    </row>
    <row r="190" spans="1:10">
      <c r="A190" s="16" t="s">
        <v>221</v>
      </c>
      <c r="B190" s="17" t="s">
        <v>111</v>
      </c>
      <c r="C190" s="86">
        <v>1</v>
      </c>
      <c r="D190" s="18"/>
      <c r="E190" s="18"/>
      <c r="F190" s="20"/>
      <c r="I190" s="85"/>
      <c r="J190" s="85"/>
    </row>
    <row r="191" spans="1:10">
      <c r="A191" s="16" t="s">
        <v>113</v>
      </c>
      <c r="B191" s="17" t="s">
        <v>2</v>
      </c>
      <c r="C191" s="140">
        <f>IFERROR(VLOOKUP(C189,'5. Depreciação'!A11:B25,2,FALSE),0)</f>
        <v>65.180000000000007</v>
      </c>
      <c r="D191" s="18">
        <f>E188</f>
        <v>70800</v>
      </c>
      <c r="E191" s="18">
        <f>C191*D191/100</f>
        <v>46147.44000000001</v>
      </c>
    </row>
    <row r="192" spans="1:10">
      <c r="A192" s="103" t="s">
        <v>117</v>
      </c>
      <c r="B192" s="104" t="s">
        <v>8</v>
      </c>
      <c r="C192" s="104">
        <f>C189*12</f>
        <v>120</v>
      </c>
      <c r="D192" s="105">
        <f>IF(C190&lt;=C189,E191,0)</f>
        <v>46147.44000000001</v>
      </c>
      <c r="E192" s="105">
        <f>IFERROR(D192/C192,0)</f>
        <v>384.56200000000007</v>
      </c>
    </row>
    <row r="193" spans="1:10">
      <c r="A193" s="116" t="s">
        <v>272</v>
      </c>
      <c r="B193" s="117"/>
      <c r="C193" s="117"/>
      <c r="D193" s="118"/>
      <c r="E193" s="119">
        <f>E187+E192</f>
        <v>1065.1425549000001</v>
      </c>
    </row>
    <row r="194" spans="1:10" ht="13.5" thickBot="1">
      <c r="A194" s="103" t="s">
        <v>273</v>
      </c>
      <c r="B194" s="104" t="s">
        <v>10</v>
      </c>
      <c r="C194" s="86">
        <v>1</v>
      </c>
      <c r="D194" s="105">
        <f>E193</f>
        <v>1065.1425549000001</v>
      </c>
      <c r="E194" s="119">
        <f>C194*D194</f>
        <v>1065.1425549000001</v>
      </c>
    </row>
    <row r="195" spans="1:10" ht="13.5" thickBot="1">
      <c r="A195" s="275"/>
      <c r="B195" s="275"/>
      <c r="C195" s="275"/>
      <c r="D195" s="123" t="s">
        <v>209</v>
      </c>
      <c r="E195" s="50">
        <f>$B$49</f>
        <v>0.3009090909090909</v>
      </c>
      <c r="F195" s="21">
        <f>E194*E195</f>
        <v>320.51107788354545</v>
      </c>
    </row>
    <row r="196" spans="1:10" ht="11.25" customHeight="1"/>
    <row r="197" spans="1:10" ht="13.5" thickBot="1">
      <c r="A197" s="107" t="s">
        <v>122</v>
      </c>
    </row>
    <row r="198" spans="1:10" ht="13.5" thickBot="1">
      <c r="A198" s="109" t="s">
        <v>66</v>
      </c>
      <c r="B198" s="110" t="s">
        <v>67</v>
      </c>
      <c r="C198" s="110" t="s">
        <v>42</v>
      </c>
      <c r="D198" s="62" t="s">
        <v>252</v>
      </c>
      <c r="E198" s="111" t="s">
        <v>68</v>
      </c>
      <c r="F198" s="63" t="s">
        <v>69</v>
      </c>
      <c r="I198" s="85"/>
      <c r="J198" s="85"/>
    </row>
    <row r="199" spans="1:10">
      <c r="A199" s="16" t="s">
        <v>120</v>
      </c>
      <c r="B199" s="17" t="s">
        <v>10</v>
      </c>
      <c r="C199" s="276">
        <v>1</v>
      </c>
      <c r="D199" s="18">
        <f>D183</f>
        <v>125298.66</v>
      </c>
      <c r="E199" s="18">
        <f>C199*D199</f>
        <v>125298.66</v>
      </c>
      <c r="F199" s="20"/>
      <c r="I199" s="85"/>
      <c r="J199" s="85"/>
    </row>
    <row r="200" spans="1:10">
      <c r="A200" s="16" t="s">
        <v>224</v>
      </c>
      <c r="B200" s="17" t="s">
        <v>2</v>
      </c>
      <c r="C200" s="86">
        <v>7.18</v>
      </c>
      <c r="D200" s="18"/>
      <c r="E200" s="18"/>
      <c r="F200" s="20"/>
      <c r="I200" s="85"/>
      <c r="J200" s="85"/>
    </row>
    <row r="201" spans="1:10">
      <c r="A201" s="16" t="s">
        <v>222</v>
      </c>
      <c r="B201" s="17" t="s">
        <v>35</v>
      </c>
      <c r="C201" s="147">
        <f>IFERROR(IF(C185&lt;=C184,E183-(C186/(100*C184)*C185)*E183,E183-E186),0)</f>
        <v>117131.69334120001</v>
      </c>
      <c r="D201" s="18"/>
      <c r="E201" s="18"/>
      <c r="F201" s="20"/>
      <c r="I201" s="85"/>
      <c r="J201" s="85"/>
    </row>
    <row r="202" spans="1:10">
      <c r="A202" s="16" t="s">
        <v>125</v>
      </c>
      <c r="B202" s="17" t="s">
        <v>35</v>
      </c>
      <c r="C202" s="83">
        <f>IFERROR(IF(C185&gt;=C184,C201,((((C201)-(E183-E186))*(((C184-C185)+1)/(2*(C184-C185))))+(E183-E186))),0)</f>
        <v>84463.826706000007</v>
      </c>
      <c r="D202" s="18"/>
      <c r="E202" s="18"/>
      <c r="F202" s="20"/>
      <c r="I202" s="85"/>
      <c r="J202" s="85"/>
    </row>
    <row r="203" spans="1:10" ht="13.5" thickBot="1">
      <c r="A203" s="282" t="s">
        <v>126</v>
      </c>
      <c r="B203" s="283" t="s">
        <v>35</v>
      </c>
      <c r="C203" s="283"/>
      <c r="D203" s="285">
        <f>C200*C202/12/100</f>
        <v>505.37522979089999</v>
      </c>
      <c r="E203" s="284">
        <f>D203</f>
        <v>505.37522979089999</v>
      </c>
      <c r="F203" s="20"/>
      <c r="I203" s="85"/>
      <c r="J203" s="85"/>
    </row>
    <row r="204" spans="1:10" ht="13.5" thickTop="1">
      <c r="A204" s="13" t="s">
        <v>121</v>
      </c>
      <c r="B204" s="14" t="s">
        <v>10</v>
      </c>
      <c r="C204" s="14">
        <f>C188</f>
        <v>1</v>
      </c>
      <c r="D204" s="15">
        <f>D188</f>
        <v>70800</v>
      </c>
      <c r="E204" s="15">
        <f>C204*D204</f>
        <v>70800</v>
      </c>
      <c r="F204" s="20"/>
      <c r="I204" s="85"/>
      <c r="J204" s="85"/>
    </row>
    <row r="205" spans="1:10">
      <c r="A205" s="16" t="s">
        <v>224</v>
      </c>
      <c r="B205" s="17" t="s">
        <v>2</v>
      </c>
      <c r="C205" s="277">
        <f>C200</f>
        <v>7.18</v>
      </c>
      <c r="D205" s="18"/>
      <c r="E205" s="18"/>
      <c r="F205" s="20"/>
      <c r="I205" s="85"/>
      <c r="J205" s="85"/>
    </row>
    <row r="206" spans="1:10">
      <c r="A206" s="16" t="s">
        <v>223</v>
      </c>
      <c r="B206" s="17" t="s">
        <v>35</v>
      </c>
      <c r="C206" s="147">
        <f>IFERROR(IF(C190&lt;=C189,E188-(C191/(100*C189)*C190)*E188,E188-E191),0)</f>
        <v>66185.255999999994</v>
      </c>
      <c r="D206" s="18"/>
      <c r="E206" s="18"/>
      <c r="F206" s="20"/>
      <c r="I206" s="85"/>
      <c r="J206" s="85"/>
    </row>
    <row r="207" spans="1:10">
      <c r="A207" s="16" t="s">
        <v>127</v>
      </c>
      <c r="B207" s="17" t="s">
        <v>35</v>
      </c>
      <c r="C207" s="83">
        <f>IFERROR(IF(C190&gt;=C189,C206,((((C206)-(E188-E191))*(((C189-C190)+1)/(2*(C189-C190))))+(E188-E191))),0)</f>
        <v>47726.28</v>
      </c>
      <c r="D207" s="18"/>
      <c r="E207" s="18"/>
      <c r="F207" s="20"/>
      <c r="I207" s="85"/>
      <c r="J207" s="85"/>
    </row>
    <row r="208" spans="1:10">
      <c r="A208" s="103" t="s">
        <v>124</v>
      </c>
      <c r="B208" s="104" t="s">
        <v>35</v>
      </c>
      <c r="C208" s="104"/>
      <c r="D208" s="113">
        <f>C205*C207/12/100</f>
        <v>285.56224199999997</v>
      </c>
      <c r="E208" s="105">
        <f>D208</f>
        <v>285.56224199999997</v>
      </c>
      <c r="F208" s="20"/>
      <c r="I208" s="85"/>
      <c r="J208" s="85"/>
    </row>
    <row r="209" spans="1:10">
      <c r="A209" s="116" t="s">
        <v>272</v>
      </c>
      <c r="B209" s="117"/>
      <c r="C209" s="117"/>
      <c r="D209" s="118"/>
      <c r="E209" s="119">
        <f>E203+E208</f>
        <v>790.93747179089996</v>
      </c>
      <c r="F209" s="20"/>
      <c r="I209" s="85"/>
      <c r="J209" s="85"/>
    </row>
    <row r="210" spans="1:10" ht="13.5" thickBot="1">
      <c r="A210" s="103" t="s">
        <v>273</v>
      </c>
      <c r="B210" s="104" t="s">
        <v>10</v>
      </c>
      <c r="C210" s="277">
        <f>C194</f>
        <v>1</v>
      </c>
      <c r="D210" s="105">
        <f>E209</f>
        <v>790.93747179089996</v>
      </c>
      <c r="E210" s="119">
        <f>C210*D210</f>
        <v>790.93747179089996</v>
      </c>
      <c r="F210" s="20"/>
      <c r="I210" s="85"/>
      <c r="J210" s="85"/>
    </row>
    <row r="211" spans="1:10" ht="13.5" thickBot="1">
      <c r="C211" s="19"/>
      <c r="D211" s="123" t="s">
        <v>209</v>
      </c>
      <c r="E211" s="50">
        <f>$B$49</f>
        <v>0.3009090909090909</v>
      </c>
      <c r="F211" s="21">
        <f>E210*E211</f>
        <v>238.00027560253443</v>
      </c>
      <c r="I211" s="85"/>
      <c r="J211" s="85"/>
    </row>
    <row r="212" spans="1:10" ht="11.25" customHeight="1">
      <c r="I212" s="85"/>
      <c r="J212" s="85"/>
    </row>
    <row r="213" spans="1:10" ht="13.5" thickBot="1">
      <c r="A213" s="9" t="s">
        <v>53</v>
      </c>
      <c r="I213" s="85"/>
      <c r="J213" s="85"/>
    </row>
    <row r="214" spans="1:10" ht="13.5" thickBot="1">
      <c r="A214" s="60" t="s">
        <v>66</v>
      </c>
      <c r="B214" s="61" t="s">
        <v>67</v>
      </c>
      <c r="C214" s="61" t="s">
        <v>42</v>
      </c>
      <c r="D214" s="62" t="s">
        <v>252</v>
      </c>
      <c r="E214" s="62" t="s">
        <v>68</v>
      </c>
      <c r="F214" s="63" t="s">
        <v>69</v>
      </c>
      <c r="I214" s="85"/>
      <c r="J214" s="85"/>
    </row>
    <row r="215" spans="1:10">
      <c r="A215" s="13" t="s">
        <v>12</v>
      </c>
      <c r="B215" s="14" t="s">
        <v>10</v>
      </c>
      <c r="C215" s="15">
        <f>C194</f>
        <v>1</v>
      </c>
      <c r="D215" s="15">
        <f>0.01*($E$183)</f>
        <v>1252.9866</v>
      </c>
      <c r="E215" s="15">
        <f>C215*D215</f>
        <v>1252.9866</v>
      </c>
      <c r="I215" s="85"/>
      <c r="J215" s="85"/>
    </row>
    <row r="216" spans="1:10">
      <c r="A216" s="16" t="s">
        <v>208</v>
      </c>
      <c r="B216" s="17" t="s">
        <v>10</v>
      </c>
      <c r="C216" s="15">
        <f>C194</f>
        <v>1</v>
      </c>
      <c r="D216" s="89">
        <v>155.25</v>
      </c>
      <c r="E216" s="18">
        <f>C216*D216</f>
        <v>155.25</v>
      </c>
      <c r="I216" s="85"/>
      <c r="J216" s="85"/>
    </row>
    <row r="217" spans="1:10">
      <c r="A217" s="16" t="s">
        <v>13</v>
      </c>
      <c r="B217" s="17" t="s">
        <v>10</v>
      </c>
      <c r="C217" s="15">
        <f>C194</f>
        <v>1</v>
      </c>
      <c r="D217" s="89">
        <v>1600</v>
      </c>
      <c r="E217" s="18">
        <f>C217*D217</f>
        <v>1600</v>
      </c>
      <c r="F217" s="31"/>
      <c r="I217" s="85"/>
      <c r="J217" s="85"/>
    </row>
    <row r="218" spans="1:10" ht="13.5" thickBot="1">
      <c r="A218" s="103" t="s">
        <v>14</v>
      </c>
      <c r="B218" s="104"/>
      <c r="C218" s="104">
        <v>12</v>
      </c>
      <c r="D218" s="105">
        <f>SUM(E215:E217)</f>
        <v>3008.2366000000002</v>
      </c>
      <c r="E218" s="105">
        <f>D218/C218</f>
        <v>250.68638333333334</v>
      </c>
      <c r="I218" s="85"/>
      <c r="J218" s="85"/>
    </row>
    <row r="219" spans="1:10" ht="13.5" thickBot="1">
      <c r="D219" s="123" t="s">
        <v>209</v>
      </c>
      <c r="E219" s="50">
        <f>$B$49</f>
        <v>0.3009090909090909</v>
      </c>
      <c r="F219" s="124">
        <f>E218*E219</f>
        <v>75.433811712121212</v>
      </c>
      <c r="I219" s="85"/>
      <c r="J219" s="85"/>
    </row>
    <row r="220" spans="1:10" ht="11.25" customHeight="1">
      <c r="I220" s="85"/>
      <c r="J220" s="85"/>
    </row>
    <row r="221" spans="1:10">
      <c r="A221" s="9" t="s">
        <v>54</v>
      </c>
      <c r="B221" s="32"/>
      <c r="I221" s="85"/>
      <c r="J221" s="85"/>
    </row>
    <row r="222" spans="1:10">
      <c r="B222" s="32"/>
      <c r="I222" s="85"/>
      <c r="J222" s="85"/>
    </row>
    <row r="223" spans="1:10">
      <c r="A223" s="103" t="s">
        <v>129</v>
      </c>
      <c r="B223" s="312">
        <v>2081.86</v>
      </c>
      <c r="I223" s="85"/>
      <c r="J223" s="85"/>
    </row>
    <row r="224" spans="1:10" ht="13.5" thickBot="1">
      <c r="B224" s="32"/>
      <c r="I224" s="85"/>
      <c r="J224" s="85"/>
    </row>
    <row r="225" spans="1:10" ht="13.5" thickBot="1">
      <c r="A225" s="60" t="s">
        <v>66</v>
      </c>
      <c r="B225" s="61" t="s">
        <v>67</v>
      </c>
      <c r="C225" s="61" t="s">
        <v>271</v>
      </c>
      <c r="D225" s="62" t="s">
        <v>252</v>
      </c>
      <c r="E225" s="62" t="s">
        <v>68</v>
      </c>
      <c r="F225" s="63" t="s">
        <v>69</v>
      </c>
      <c r="I225" s="85"/>
      <c r="J225" s="85"/>
    </row>
    <row r="226" spans="1:10">
      <c r="A226" s="13" t="s">
        <v>15</v>
      </c>
      <c r="B226" s="14" t="s">
        <v>16</v>
      </c>
      <c r="C226" s="97">
        <v>2</v>
      </c>
      <c r="D226" s="98">
        <v>3.4</v>
      </c>
      <c r="E226" s="15"/>
      <c r="I226" s="85"/>
      <c r="J226" s="85"/>
    </row>
    <row r="227" spans="1:10">
      <c r="A227" s="16" t="s">
        <v>17</v>
      </c>
      <c r="B227" s="17" t="s">
        <v>18</v>
      </c>
      <c r="C227" s="94">
        <f>B223</f>
        <v>2081.86</v>
      </c>
      <c r="D227" s="274">
        <f>IFERROR(+D226/C226,"-")</f>
        <v>1.7</v>
      </c>
      <c r="E227" s="18">
        <f>IFERROR(C227*D227,"-")</f>
        <v>3539.1620000000003</v>
      </c>
      <c r="I227" s="85"/>
      <c r="J227" s="85"/>
    </row>
    <row r="228" spans="1:10">
      <c r="A228" s="16" t="s">
        <v>253</v>
      </c>
      <c r="B228" s="17" t="s">
        <v>19</v>
      </c>
      <c r="C228" s="100">
        <v>6</v>
      </c>
      <c r="D228" s="89">
        <v>9.25</v>
      </c>
      <c r="E228" s="18"/>
      <c r="G228" s="112"/>
      <c r="H228" s="52"/>
      <c r="I228" s="85"/>
      <c r="J228" s="85"/>
    </row>
    <row r="229" spans="1:10">
      <c r="A229" s="16" t="s">
        <v>20</v>
      </c>
      <c r="B229" s="17" t="s">
        <v>18</v>
      </c>
      <c r="C229" s="94">
        <f>C227</f>
        <v>2081.86</v>
      </c>
      <c r="D229" s="271">
        <f>+C228*D228/1000</f>
        <v>5.5500000000000001E-2</v>
      </c>
      <c r="E229" s="18">
        <f>C229*D229</f>
        <v>115.54323000000001</v>
      </c>
      <c r="G229" s="112"/>
      <c r="H229" s="52"/>
      <c r="I229" s="85"/>
      <c r="J229" s="85"/>
    </row>
    <row r="230" spans="1:10">
      <c r="A230" s="16" t="s">
        <v>254</v>
      </c>
      <c r="B230" s="17" t="s">
        <v>19</v>
      </c>
      <c r="C230" s="100">
        <v>0.85</v>
      </c>
      <c r="D230" s="89">
        <v>13.3</v>
      </c>
      <c r="E230" s="18"/>
      <c r="G230" s="112"/>
      <c r="H230" s="52"/>
      <c r="I230" s="85"/>
      <c r="J230" s="85"/>
    </row>
    <row r="231" spans="1:10">
      <c r="A231" s="16" t="s">
        <v>21</v>
      </c>
      <c r="B231" s="17" t="s">
        <v>18</v>
      </c>
      <c r="C231" s="94">
        <f>C227</f>
        <v>2081.86</v>
      </c>
      <c r="D231" s="271">
        <f>+C230*D230/1000</f>
        <v>1.1304999999999999E-2</v>
      </c>
      <c r="E231" s="18">
        <f>C231*D231</f>
        <v>23.535427299999998</v>
      </c>
      <c r="G231" s="112"/>
      <c r="H231" s="52"/>
      <c r="I231" s="85"/>
      <c r="J231" s="85"/>
    </row>
    <row r="232" spans="1:10">
      <c r="A232" s="16" t="s">
        <v>255</v>
      </c>
      <c r="B232" s="17" t="s">
        <v>19</v>
      </c>
      <c r="C232" s="100">
        <v>5</v>
      </c>
      <c r="D232" s="89">
        <v>8.24</v>
      </c>
      <c r="E232" s="18"/>
      <c r="G232" s="112"/>
      <c r="H232" s="52"/>
      <c r="I232" s="85"/>
      <c r="J232" s="85"/>
    </row>
    <row r="233" spans="1:10">
      <c r="A233" s="16" t="s">
        <v>22</v>
      </c>
      <c r="B233" s="17" t="s">
        <v>18</v>
      </c>
      <c r="C233" s="94">
        <f>C227</f>
        <v>2081.86</v>
      </c>
      <c r="D233" s="271">
        <f>+C232*D232/1000</f>
        <v>4.1200000000000001E-2</v>
      </c>
      <c r="E233" s="18">
        <f>C233*D233</f>
        <v>85.772632000000002</v>
      </c>
      <c r="G233" s="112"/>
      <c r="H233" s="52"/>
      <c r="I233" s="85"/>
      <c r="J233" s="85"/>
    </row>
    <row r="234" spans="1:10">
      <c r="A234" s="16" t="s">
        <v>23</v>
      </c>
      <c r="B234" s="17" t="s">
        <v>24</v>
      </c>
      <c r="C234" s="100">
        <v>2</v>
      </c>
      <c r="D234" s="89">
        <v>9.26</v>
      </c>
      <c r="E234" s="18"/>
      <c r="G234" s="112"/>
      <c r="H234" s="52"/>
      <c r="I234" s="85"/>
      <c r="J234" s="85"/>
    </row>
    <row r="235" spans="1:10">
      <c r="A235" s="16" t="s">
        <v>25</v>
      </c>
      <c r="B235" s="17" t="s">
        <v>18</v>
      </c>
      <c r="C235" s="94">
        <f>C227</f>
        <v>2081.86</v>
      </c>
      <c r="D235" s="271">
        <f>+C234*D234/1000</f>
        <v>1.8519999999999998E-2</v>
      </c>
      <c r="E235" s="18">
        <f>C235*D235</f>
        <v>38.556047200000002</v>
      </c>
      <c r="G235" s="112"/>
      <c r="H235" s="52"/>
      <c r="I235" s="85"/>
      <c r="J235" s="85"/>
    </row>
    <row r="236" spans="1:10" ht="13.5" thickBot="1">
      <c r="A236" s="103" t="s">
        <v>270</v>
      </c>
      <c r="B236" s="104" t="s">
        <v>130</v>
      </c>
      <c r="C236" s="272"/>
      <c r="D236" s="273">
        <f>IFERROR(D227+D229+D231+D233+D235,0)</f>
        <v>1.826525</v>
      </c>
      <c r="E236" s="18"/>
      <c r="G236" s="112"/>
      <c r="H236" s="52"/>
      <c r="I236" s="85"/>
      <c r="J236" s="85"/>
    </row>
    <row r="237" spans="1:10" ht="13.5" thickBot="1">
      <c r="F237" s="21">
        <f>SUM(E226:E235)</f>
        <v>3802.5693365000006</v>
      </c>
      <c r="I237" s="85"/>
      <c r="J237" s="85"/>
    </row>
    <row r="238" spans="1:10" ht="11.25" customHeight="1">
      <c r="I238" s="85"/>
      <c r="J238" s="85"/>
    </row>
    <row r="239" spans="1:10" ht="13.5" thickBot="1">
      <c r="A239" s="9" t="s">
        <v>55</v>
      </c>
      <c r="I239" s="85"/>
      <c r="J239" s="85"/>
    </row>
    <row r="240" spans="1:10" ht="13.5" thickBot="1">
      <c r="A240" s="60" t="s">
        <v>66</v>
      </c>
      <c r="B240" s="61" t="s">
        <v>67</v>
      </c>
      <c r="C240" s="61" t="s">
        <v>42</v>
      </c>
      <c r="D240" s="62" t="s">
        <v>252</v>
      </c>
      <c r="E240" s="62" t="s">
        <v>68</v>
      </c>
      <c r="F240" s="63" t="s">
        <v>69</v>
      </c>
      <c r="I240" s="85"/>
      <c r="J240" s="85"/>
    </row>
    <row r="241" spans="1:10" ht="13.5" thickBot="1">
      <c r="A241" s="13" t="s">
        <v>128</v>
      </c>
      <c r="B241" s="14" t="s">
        <v>130</v>
      </c>
      <c r="C241" s="94">
        <f>C227</f>
        <v>2081.86</v>
      </c>
      <c r="D241" s="87">
        <v>0.74</v>
      </c>
      <c r="E241" s="15">
        <f>C241*D241</f>
        <v>1540.5764000000001</v>
      </c>
      <c r="I241" s="85"/>
      <c r="J241" s="85"/>
    </row>
    <row r="242" spans="1:10" ht="13.5" thickBot="1">
      <c r="F242" s="21">
        <f>E241</f>
        <v>1540.5764000000001</v>
      </c>
      <c r="I242" s="85"/>
      <c r="J242" s="85"/>
    </row>
    <row r="243" spans="1:10" ht="11.25" customHeight="1">
      <c r="I243" s="85"/>
      <c r="J243" s="85"/>
    </row>
    <row r="244" spans="1:10" ht="13.5" thickBot="1">
      <c r="A244" s="9" t="s">
        <v>64</v>
      </c>
      <c r="I244" s="85"/>
      <c r="J244" s="85"/>
    </row>
    <row r="245" spans="1:10" ht="13.5" thickBot="1">
      <c r="A245" s="60" t="s">
        <v>66</v>
      </c>
      <c r="B245" s="61" t="s">
        <v>67</v>
      </c>
      <c r="C245" s="61" t="s">
        <v>42</v>
      </c>
      <c r="D245" s="62" t="s">
        <v>252</v>
      </c>
      <c r="E245" s="62" t="s">
        <v>68</v>
      </c>
      <c r="F245" s="63" t="s">
        <v>69</v>
      </c>
      <c r="I245" s="85"/>
      <c r="J245" s="85"/>
    </row>
    <row r="246" spans="1:10">
      <c r="A246" s="309" t="s">
        <v>298</v>
      </c>
      <c r="B246" s="14" t="s">
        <v>10</v>
      </c>
      <c r="C246" s="96">
        <v>6</v>
      </c>
      <c r="D246" s="87">
        <v>1200</v>
      </c>
      <c r="E246" s="15">
        <f>C246*D246</f>
        <v>7200</v>
      </c>
      <c r="I246" s="85"/>
      <c r="J246" s="85"/>
    </row>
    <row r="247" spans="1:10">
      <c r="A247" s="13" t="s">
        <v>131</v>
      </c>
      <c r="B247" s="14" t="s">
        <v>10</v>
      </c>
      <c r="C247" s="96">
        <v>2</v>
      </c>
      <c r="D247" s="106"/>
      <c r="E247" s="15"/>
      <c r="I247" s="85"/>
      <c r="J247" s="85"/>
    </row>
    <row r="248" spans="1:10">
      <c r="A248" s="13" t="s">
        <v>74</v>
      </c>
      <c r="B248" s="14" t="s">
        <v>10</v>
      </c>
      <c r="C248" s="15">
        <f>C246*C247</f>
        <v>12</v>
      </c>
      <c r="D248" s="87">
        <v>520</v>
      </c>
      <c r="E248" s="15">
        <f>C248*D248</f>
        <v>6240</v>
      </c>
      <c r="I248" s="85"/>
      <c r="J248" s="85"/>
    </row>
    <row r="249" spans="1:10">
      <c r="A249" s="16" t="s">
        <v>101</v>
      </c>
      <c r="B249" s="17" t="s">
        <v>26</v>
      </c>
      <c r="C249" s="99">
        <v>40000</v>
      </c>
      <c r="D249" s="18">
        <f>E246+E248</f>
        <v>13440</v>
      </c>
      <c r="E249" s="18">
        <f>IFERROR(D249/C249,"-")</f>
        <v>0.33600000000000002</v>
      </c>
      <c r="I249" s="85"/>
      <c r="J249" s="85"/>
    </row>
    <row r="250" spans="1:10" ht="13.5" thickBot="1">
      <c r="A250" s="16" t="s">
        <v>57</v>
      </c>
      <c r="B250" s="17" t="s">
        <v>18</v>
      </c>
      <c r="C250" s="94">
        <f>B223</f>
        <v>2081.86</v>
      </c>
      <c r="D250" s="18">
        <f>E249</f>
        <v>0.33600000000000002</v>
      </c>
      <c r="E250" s="18">
        <f>IFERROR(C250*D250,0)</f>
        <v>699.5049600000001</v>
      </c>
      <c r="I250" s="85"/>
      <c r="J250" s="85"/>
    </row>
    <row r="251" spans="1:10" ht="13.5" thickBot="1">
      <c r="F251" s="21">
        <f>E250</f>
        <v>699.5049600000001</v>
      </c>
      <c r="I251" s="85"/>
      <c r="J251" s="85"/>
    </row>
    <row r="252" spans="1:10" ht="11.25" customHeight="1">
      <c r="I252" s="85"/>
      <c r="J252" s="85"/>
    </row>
    <row r="253" spans="1:10" ht="11.25" customHeight="1" thickBot="1">
      <c r="G253" s="9"/>
    </row>
    <row r="254" spans="1:10" ht="13.5" thickBot="1">
      <c r="A254" s="24" t="s">
        <v>240</v>
      </c>
      <c r="B254" s="25"/>
      <c r="C254" s="25"/>
      <c r="D254" s="26"/>
      <c r="E254" s="27"/>
      <c r="F254" s="21">
        <f>+SUM(F183:F253)</f>
        <v>6676.5958616982016</v>
      </c>
      <c r="G254" s="9"/>
    </row>
    <row r="255" spans="1:10" ht="11.25" customHeight="1">
      <c r="G255" s="9"/>
    </row>
    <row r="256" spans="1:10">
      <c r="A256" s="34" t="s">
        <v>78</v>
      </c>
      <c r="B256" s="34"/>
      <c r="C256" s="34"/>
      <c r="D256" s="35"/>
      <c r="E256" s="35"/>
      <c r="F256" s="33"/>
      <c r="G256" s="9"/>
    </row>
    <row r="257" spans="1:7" ht="11.25" customHeight="1" thickBot="1">
      <c r="G257" s="9"/>
    </row>
    <row r="258" spans="1:7" ht="13.5" thickBot="1">
      <c r="A258" s="60" t="s">
        <v>66</v>
      </c>
      <c r="B258" s="61" t="s">
        <v>67</v>
      </c>
      <c r="C258" s="61" t="s">
        <v>42</v>
      </c>
      <c r="D258" s="62" t="s">
        <v>252</v>
      </c>
      <c r="E258" s="62" t="s">
        <v>68</v>
      </c>
      <c r="F258" s="63" t="s">
        <v>69</v>
      </c>
      <c r="G258" s="9"/>
    </row>
    <row r="259" spans="1:7">
      <c r="A259" s="16" t="s">
        <v>75</v>
      </c>
      <c r="B259" s="17" t="s">
        <v>10</v>
      </c>
      <c r="C259" s="101">
        <v>8.3333333333333329E-2</v>
      </c>
      <c r="D259" s="87">
        <v>25</v>
      </c>
      <c r="E259" s="18">
        <f>C259*D259</f>
        <v>2.083333333333333</v>
      </c>
      <c r="F259" s="55"/>
      <c r="G259" s="9"/>
    </row>
    <row r="260" spans="1:7">
      <c r="A260" s="16" t="s">
        <v>28</v>
      </c>
      <c r="B260" s="17" t="s">
        <v>10</v>
      </c>
      <c r="C260" s="101">
        <v>0.16666666666666666</v>
      </c>
      <c r="D260" s="87">
        <v>25</v>
      </c>
      <c r="E260" s="18">
        <f>C260*D260</f>
        <v>4.1666666666666661</v>
      </c>
      <c r="F260" s="55"/>
      <c r="G260" s="9"/>
    </row>
    <row r="261" spans="1:7">
      <c r="A261" s="16" t="s">
        <v>29</v>
      </c>
      <c r="B261" s="17" t="s">
        <v>10</v>
      </c>
      <c r="C261" s="101">
        <v>0.5</v>
      </c>
      <c r="D261" s="87">
        <v>20</v>
      </c>
      <c r="E261" s="18">
        <f>C261*D261</f>
        <v>10</v>
      </c>
      <c r="F261" s="55"/>
      <c r="G261" s="9"/>
    </row>
    <row r="262" spans="1:7">
      <c r="A262" s="16" t="s">
        <v>59</v>
      </c>
      <c r="B262" s="17" t="s">
        <v>60</v>
      </c>
      <c r="C262" s="101">
        <v>8.3333333333333329E-2</v>
      </c>
      <c r="D262" s="87">
        <v>0</v>
      </c>
      <c r="E262" s="18">
        <f>C262*D262</f>
        <v>0</v>
      </c>
      <c r="F262" s="55"/>
      <c r="G262" s="9"/>
    </row>
    <row r="263" spans="1:7" ht="13.5" thickBot="1">
      <c r="A263" s="16" t="s">
        <v>62</v>
      </c>
      <c r="B263" s="17" t="s">
        <v>60</v>
      </c>
      <c r="C263" s="101">
        <v>8.3333333333333329E-2</v>
      </c>
      <c r="D263" s="87">
        <v>0</v>
      </c>
      <c r="E263" s="18">
        <f>C263*D263</f>
        <v>0</v>
      </c>
      <c r="F263" s="55"/>
      <c r="G263" s="9"/>
    </row>
    <row r="264" spans="1:7" ht="13.5" thickBot="1">
      <c r="A264" s="34"/>
      <c r="B264" s="34"/>
      <c r="C264" s="34"/>
      <c r="D264" s="34"/>
      <c r="E264" s="35"/>
      <c r="F264" s="21">
        <f>SUM(E259:E263)</f>
        <v>16.25</v>
      </c>
      <c r="G264" s="9"/>
    </row>
    <row r="265" spans="1:7" ht="11.25" customHeight="1" thickBot="1">
      <c r="G265" s="9"/>
    </row>
    <row r="266" spans="1:7" ht="13.5" thickBot="1">
      <c r="A266" s="24" t="s">
        <v>241</v>
      </c>
      <c r="B266" s="25"/>
      <c r="C266" s="25"/>
      <c r="D266" s="26"/>
      <c r="E266" s="27"/>
      <c r="F266" s="21">
        <f>+F264</f>
        <v>16.25</v>
      </c>
      <c r="G266" s="9"/>
    </row>
    <row r="267" spans="1:7" ht="11.25" customHeight="1">
      <c r="G267" s="9"/>
    </row>
    <row r="268" spans="1:7">
      <c r="A268" s="34" t="s">
        <v>79</v>
      </c>
      <c r="B268" s="34"/>
      <c r="C268" s="34"/>
      <c r="D268" s="35"/>
      <c r="E268" s="35"/>
      <c r="F268" s="33"/>
    </row>
    <row r="269" spans="1:7" ht="11.25" customHeight="1" thickBot="1"/>
    <row r="270" spans="1:7" ht="13.5" thickBot="1">
      <c r="A270" s="60" t="s">
        <v>66</v>
      </c>
      <c r="B270" s="61" t="s">
        <v>67</v>
      </c>
      <c r="C270" s="61" t="s">
        <v>42</v>
      </c>
      <c r="D270" s="62" t="s">
        <v>252</v>
      </c>
      <c r="E270" s="62" t="s">
        <v>68</v>
      </c>
      <c r="F270" s="63" t="s">
        <v>69</v>
      </c>
    </row>
    <row r="271" spans="1:7">
      <c r="A271" s="16" t="s">
        <v>238</v>
      </c>
      <c r="B271" s="53" t="s">
        <v>60</v>
      </c>
      <c r="C271" s="69">
        <f>C183</f>
        <v>1</v>
      </c>
      <c r="D271" s="89">
        <v>50</v>
      </c>
      <c r="E271" s="18">
        <f>+D271*C271</f>
        <v>50</v>
      </c>
      <c r="F271" s="55"/>
    </row>
    <row r="272" spans="1:7">
      <c r="A272" s="16" t="s">
        <v>63</v>
      </c>
      <c r="B272" s="53" t="s">
        <v>8</v>
      </c>
      <c r="C272" s="153">
        <v>60</v>
      </c>
      <c r="D272" s="80">
        <f>SUM(E271:E271)</f>
        <v>50</v>
      </c>
      <c r="E272" s="80">
        <f>+D272/C272</f>
        <v>0.83333333333333337</v>
      </c>
      <c r="F272" s="55"/>
    </row>
    <row r="273" spans="1:7">
      <c r="A273" s="16" t="s">
        <v>239</v>
      </c>
      <c r="B273" s="17" t="s">
        <v>10</v>
      </c>
      <c r="C273" s="69">
        <f>+C271</f>
        <v>1</v>
      </c>
      <c r="D273" s="89">
        <v>59</v>
      </c>
      <c r="E273" s="18">
        <f>C273*D273</f>
        <v>59</v>
      </c>
      <c r="F273" s="55"/>
    </row>
    <row r="274" spans="1:7" ht="13.5" thickBot="1">
      <c r="A274" s="16" t="s">
        <v>39</v>
      </c>
      <c r="B274" s="53" t="s">
        <v>8</v>
      </c>
      <c r="C274" s="153">
        <v>1</v>
      </c>
      <c r="D274" s="80">
        <f>+E273</f>
        <v>59</v>
      </c>
      <c r="E274" s="80">
        <f>+D274/C274</f>
        <v>59</v>
      </c>
      <c r="F274" s="55"/>
    </row>
    <row r="275" spans="1:7" ht="13.5" thickBot="1">
      <c r="A275" s="81"/>
      <c r="B275" s="81"/>
      <c r="C275" s="81"/>
      <c r="D275" s="123" t="s">
        <v>209</v>
      </c>
      <c r="E275" s="50">
        <f>$B$49</f>
        <v>0.3009090909090909</v>
      </c>
      <c r="F275" s="82">
        <f>(E272+E274)*E275</f>
        <v>18.004393939393939</v>
      </c>
    </row>
    <row r="276" spans="1:7" s="51" customFormat="1" ht="11.25" customHeight="1" thickBot="1">
      <c r="A276" s="9"/>
      <c r="B276" s="9"/>
      <c r="C276" s="9"/>
      <c r="D276" s="10"/>
      <c r="E276" s="10"/>
      <c r="F276" s="10"/>
      <c r="G276" s="84"/>
    </row>
    <row r="277" spans="1:7" ht="13.5" thickBot="1">
      <c r="A277" s="24" t="s">
        <v>237</v>
      </c>
      <c r="B277" s="25"/>
      <c r="C277" s="25"/>
      <c r="D277" s="26"/>
      <c r="E277" s="27"/>
      <c r="F277" s="21">
        <f>+F275</f>
        <v>18.004393939393939</v>
      </c>
    </row>
    <row r="278" spans="1:7" ht="11.25" customHeight="1" thickBot="1"/>
    <row r="279" spans="1:7" ht="17.25" customHeight="1" thickBot="1">
      <c r="A279" s="24" t="s">
        <v>242</v>
      </c>
      <c r="B279" s="28"/>
      <c r="C279" s="28"/>
      <c r="D279" s="29"/>
      <c r="E279" s="30"/>
      <c r="F279" s="22">
        <f>+F141+F175+F254+F266+F277</f>
        <v>10503.133323658505</v>
      </c>
    </row>
    <row r="280" spans="1:7" ht="11.25" customHeight="1"/>
    <row r="281" spans="1:7">
      <c r="A281" s="11" t="s">
        <v>94</v>
      </c>
    </row>
    <row r="282" spans="1:7" ht="11.25" customHeight="1" thickBot="1"/>
    <row r="283" spans="1:7" ht="13.5" thickBot="1">
      <c r="A283" s="60" t="s">
        <v>66</v>
      </c>
      <c r="B283" s="61" t="s">
        <v>67</v>
      </c>
      <c r="C283" s="61" t="s">
        <v>42</v>
      </c>
      <c r="D283" s="62" t="s">
        <v>252</v>
      </c>
      <c r="E283" s="62" t="s">
        <v>68</v>
      </c>
      <c r="F283" s="63" t="s">
        <v>69</v>
      </c>
    </row>
    <row r="284" spans="1:7" ht="13.5" thickBot="1">
      <c r="A284" s="13" t="s">
        <v>38</v>
      </c>
      <c r="B284" s="14" t="s">
        <v>2</v>
      </c>
      <c r="C284" s="139">
        <f>'4.BDI'!C21*100</f>
        <v>26.46</v>
      </c>
      <c r="D284" s="15">
        <f>+F279</f>
        <v>10503.133323658505</v>
      </c>
      <c r="E284" s="15">
        <f>C284*D284/100</f>
        <v>2779.1290774400404</v>
      </c>
    </row>
    <row r="285" spans="1:7" ht="13.5" thickBot="1">
      <c r="F285" s="21">
        <f>+E284</f>
        <v>2779.1290774400404</v>
      </c>
    </row>
    <row r="286" spans="1:7" ht="11.25" customHeight="1" thickBot="1"/>
    <row r="287" spans="1:7" ht="13.5" thickBot="1">
      <c r="A287" s="24" t="s">
        <v>257</v>
      </c>
      <c r="B287" s="28"/>
      <c r="C287" s="28"/>
      <c r="D287" s="29"/>
      <c r="E287" s="30"/>
      <c r="F287" s="22">
        <f>F285</f>
        <v>2779.1290774400404</v>
      </c>
    </row>
    <row r="288" spans="1:7">
      <c r="A288" s="34"/>
      <c r="B288" s="34"/>
      <c r="C288" s="34"/>
      <c r="D288" s="35"/>
      <c r="E288" s="35"/>
      <c r="F288" s="33"/>
    </row>
    <row r="289" spans="1:7" ht="11.25" customHeight="1" thickBot="1"/>
    <row r="290" spans="1:7" ht="24.75" customHeight="1" thickBot="1">
      <c r="A290" s="24" t="s">
        <v>243</v>
      </c>
      <c r="B290" s="28"/>
      <c r="C290" s="28"/>
      <c r="D290" s="29"/>
      <c r="E290" s="30"/>
      <c r="F290" s="22">
        <f>F279+F287</f>
        <v>13282.262401098546</v>
      </c>
    </row>
    <row r="291" spans="1:7" ht="12.6" customHeight="1">
      <c r="A291" s="56"/>
      <c r="B291" s="56"/>
      <c r="C291" s="56"/>
      <c r="D291" s="57"/>
      <c r="E291" s="57"/>
      <c r="F291" s="57"/>
    </row>
    <row r="292" spans="1:7" ht="14.25">
      <c r="A292" s="8"/>
      <c r="B292" s="8"/>
      <c r="C292" s="8"/>
      <c r="D292" s="36"/>
      <c r="E292" s="36"/>
    </row>
    <row r="293" spans="1:7" ht="16.149999999999999" hidden="1" customHeight="1">
      <c r="A293" s="253" t="s">
        <v>236</v>
      </c>
      <c r="B293" s="254"/>
      <c r="C293" s="254"/>
      <c r="D293" s="255">
        <v>22.74</v>
      </c>
      <c r="E293" s="256" t="s">
        <v>27</v>
      </c>
      <c r="G293" s="10" t="s">
        <v>217</v>
      </c>
    </row>
    <row r="294" spans="1:7" ht="13.5" hidden="1" thickBot="1"/>
    <row r="295" spans="1:7" ht="25.5" hidden="1" customHeight="1" thickBot="1">
      <c r="A295" s="24" t="s">
        <v>73</v>
      </c>
      <c r="B295" s="25"/>
      <c r="C295" s="25"/>
      <c r="D295" s="26"/>
      <c r="E295" s="257" t="s">
        <v>34</v>
      </c>
      <c r="F295" s="258">
        <f>IFERROR(F290/D293,"-")</f>
        <v>584.09245387416649</v>
      </c>
      <c r="G295" s="10" t="s">
        <v>217</v>
      </c>
    </row>
    <row r="296" spans="1:7" ht="12.6" customHeight="1">
      <c r="A296" s="34"/>
      <c r="B296" s="34"/>
      <c r="C296" s="34"/>
      <c r="D296" s="35"/>
      <c r="E296" s="35"/>
      <c r="F296" s="35"/>
    </row>
    <row r="297" spans="1:7" s="4" customFormat="1" ht="9.75" customHeight="1">
      <c r="A297" s="39"/>
      <c r="B297" s="10"/>
      <c r="C297" s="10"/>
      <c r="D297" s="10"/>
      <c r="E297" s="10"/>
      <c r="F297" s="10"/>
      <c r="G297" s="6"/>
    </row>
    <row r="298" spans="1:7" s="4" customFormat="1" ht="15.75" customHeight="1">
      <c r="A298" s="315" t="s">
        <v>308</v>
      </c>
      <c r="B298" s="315"/>
      <c r="C298" s="10"/>
      <c r="D298" s="10"/>
      <c r="E298" s="10"/>
      <c r="F298" s="10"/>
      <c r="G298" s="6"/>
    </row>
    <row r="299" spans="1:7" s="4" customFormat="1" ht="9.75" customHeight="1">
      <c r="A299" s="39"/>
      <c r="B299" s="10"/>
      <c r="C299" s="10"/>
      <c r="D299" s="10"/>
      <c r="E299" s="10"/>
      <c r="F299" s="10"/>
      <c r="G299" s="6"/>
    </row>
    <row r="301" spans="1:7">
      <c r="D301" s="313" t="s">
        <v>311</v>
      </c>
      <c r="E301" s="314"/>
    </row>
    <row r="302" spans="1:7">
      <c r="D302" s="313" t="s">
        <v>309</v>
      </c>
      <c r="E302" s="313"/>
    </row>
    <row r="303" spans="1:7">
      <c r="D303" s="313" t="s">
        <v>310</v>
      </c>
      <c r="E303" s="313"/>
    </row>
    <row r="304" spans="1:7">
      <c r="D304" s="313" t="s">
        <v>312</v>
      </c>
      <c r="E304" s="314"/>
    </row>
    <row r="329" spans="4:7" ht="9" customHeight="1">
      <c r="D329" s="9"/>
      <c r="E329" s="9"/>
      <c r="F329" s="9"/>
      <c r="G329" s="9"/>
    </row>
  </sheetData>
  <mergeCells count="16">
    <mergeCell ref="B5:F5"/>
    <mergeCell ref="B6:F6"/>
    <mergeCell ref="B7:F7"/>
    <mergeCell ref="A1:F4"/>
    <mergeCell ref="A45:D45"/>
    <mergeCell ref="A22:C22"/>
    <mergeCell ref="A9:F9"/>
    <mergeCell ref="A10:F10"/>
    <mergeCell ref="A38:D38"/>
    <mergeCell ref="A12:F12"/>
    <mergeCell ref="A37:E37"/>
    <mergeCell ref="D302:E302"/>
    <mergeCell ref="D303:E303"/>
    <mergeCell ref="D301:E301"/>
    <mergeCell ref="D304:E304"/>
    <mergeCell ref="A298:B298"/>
  </mergeCells>
  <phoneticPr fontId="9" type="noConversion"/>
  <hyperlinks>
    <hyperlink ref="A197" location="AbaRemun" display="3.1.2. Remuneração do Capital"/>
    <hyperlink ref="A181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0" max="5" man="1"/>
    <brk id="120" max="5" man="1"/>
    <brk id="176" max="5" man="1"/>
    <brk id="243" max="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L73"/>
  <sheetViews>
    <sheetView topLeftCell="A4" zoomScaleNormal="100" workbookViewId="0">
      <selection activeCell="G15" sqref="G15"/>
    </sheetView>
  </sheetViews>
  <sheetFormatPr defaultRowHeight="12.75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6" customWidth="1"/>
    <col min="5" max="10" width="9.140625" style="1"/>
    <col min="11" max="11" width="11" style="1" bestFit="1" customWidth="1"/>
    <col min="12" max="16384" width="9.140625" style="1"/>
  </cols>
  <sheetData>
    <row r="4" spans="1:12">
      <c r="A4" s="319"/>
      <c r="B4" s="319"/>
      <c r="C4" s="319"/>
      <c r="D4" s="9"/>
      <c r="E4" s="9"/>
      <c r="F4" s="9"/>
    </row>
    <row r="5" spans="1:12">
      <c r="A5" s="319"/>
      <c r="B5" s="319"/>
      <c r="C5" s="319"/>
      <c r="D5" s="9"/>
      <c r="E5" s="9"/>
      <c r="F5" s="9"/>
    </row>
    <row r="6" spans="1:12">
      <c r="A6" s="319"/>
      <c r="B6" s="319"/>
      <c r="C6" s="319"/>
      <c r="D6" s="9"/>
      <c r="E6" s="9"/>
      <c r="F6" s="9"/>
    </row>
    <row r="7" spans="1:12" ht="49.5" customHeight="1">
      <c r="A7" s="319"/>
      <c r="B7" s="319"/>
      <c r="C7" s="319"/>
      <c r="D7" s="9"/>
      <c r="E7" s="9"/>
      <c r="F7" s="9"/>
    </row>
    <row r="8" spans="1:12">
      <c r="A8" s="11" t="s">
        <v>302</v>
      </c>
      <c r="B8" s="316" t="s">
        <v>303</v>
      </c>
      <c r="C8" s="316"/>
      <c r="D8" s="9"/>
      <c r="E8" s="9"/>
      <c r="F8" s="9"/>
    </row>
    <row r="9" spans="1:12">
      <c r="A9" s="286" t="s">
        <v>305</v>
      </c>
      <c r="B9" s="317" t="s">
        <v>306</v>
      </c>
      <c r="C9" s="317"/>
      <c r="D9" s="9"/>
      <c r="E9" s="9"/>
      <c r="F9" s="9"/>
    </row>
    <row r="10" spans="1:12">
      <c r="A10" s="9" t="s">
        <v>304</v>
      </c>
      <c r="B10" s="318" t="s">
        <v>307</v>
      </c>
      <c r="C10" s="318"/>
      <c r="D10" s="138"/>
      <c r="E10" s="138"/>
      <c r="F10" s="138"/>
    </row>
    <row r="11" spans="1:12" ht="13.5" thickBot="1"/>
    <row r="12" spans="1:12" ht="18">
      <c r="A12" s="336" t="s">
        <v>246</v>
      </c>
      <c r="B12" s="337"/>
      <c r="C12" s="338"/>
      <c r="D12" s="148"/>
      <c r="E12" s="148"/>
      <c r="F12" s="148"/>
    </row>
    <row r="13" spans="1:12" ht="14.25">
      <c r="A13" s="169" t="s">
        <v>154</v>
      </c>
      <c r="B13" s="170" t="s">
        <v>155</v>
      </c>
      <c r="C13" s="171" t="s">
        <v>156</v>
      </c>
      <c r="D13" s="172"/>
    </row>
    <row r="14" spans="1:12" ht="14.25">
      <c r="A14" s="169" t="s">
        <v>157</v>
      </c>
      <c r="B14" s="170" t="s">
        <v>43</v>
      </c>
      <c r="C14" s="173">
        <v>0.2</v>
      </c>
      <c r="D14" s="172"/>
      <c r="F14" s="156"/>
      <c r="G14" s="156"/>
      <c r="H14" s="156"/>
      <c r="I14" s="156"/>
      <c r="J14" s="156"/>
      <c r="K14" s="156"/>
      <c r="L14" s="156"/>
    </row>
    <row r="15" spans="1:12" ht="14.25">
      <c r="A15" s="169" t="s">
        <v>158</v>
      </c>
      <c r="B15" s="170" t="s">
        <v>159</v>
      </c>
      <c r="C15" s="173">
        <v>1.4999999999999999E-2</v>
      </c>
      <c r="D15" s="172"/>
      <c r="F15" s="156"/>
      <c r="G15" s="156"/>
      <c r="H15" s="156"/>
      <c r="I15" s="156"/>
      <c r="J15" s="156"/>
      <c r="K15" s="156"/>
      <c r="L15" s="156"/>
    </row>
    <row r="16" spans="1:12" ht="14.25">
      <c r="A16" s="169" t="s">
        <v>160</v>
      </c>
      <c r="B16" s="170" t="s">
        <v>161</v>
      </c>
      <c r="C16" s="173">
        <v>0.01</v>
      </c>
      <c r="D16" s="172"/>
      <c r="F16" s="156"/>
      <c r="G16" s="156"/>
      <c r="H16" s="156"/>
      <c r="I16" s="156"/>
      <c r="J16" s="156"/>
      <c r="K16" s="156"/>
      <c r="L16" s="156"/>
    </row>
    <row r="17" spans="1:12" ht="14.25">
      <c r="A17" s="169" t="s">
        <v>162</v>
      </c>
      <c r="B17" s="170" t="s">
        <v>163</v>
      </c>
      <c r="C17" s="173">
        <v>2E-3</v>
      </c>
      <c r="D17" s="172"/>
      <c r="F17" s="156"/>
      <c r="G17" s="156"/>
      <c r="H17" s="156"/>
      <c r="I17" s="156"/>
      <c r="J17" s="156"/>
      <c r="K17" s="156"/>
      <c r="L17" s="156"/>
    </row>
    <row r="18" spans="1:12" ht="14.25">
      <c r="A18" s="169" t="s">
        <v>164</v>
      </c>
      <c r="B18" s="170" t="s">
        <v>165</v>
      </c>
      <c r="C18" s="173">
        <v>6.0000000000000001E-3</v>
      </c>
      <c r="D18" s="172"/>
      <c r="F18" s="156"/>
      <c r="G18" s="156"/>
      <c r="H18" s="156"/>
      <c r="I18" s="156"/>
      <c r="J18" s="156"/>
      <c r="K18" s="156"/>
      <c r="L18" s="156"/>
    </row>
    <row r="19" spans="1:12" ht="14.25">
      <c r="A19" s="169" t="s">
        <v>166</v>
      </c>
      <c r="B19" s="170" t="s">
        <v>167</v>
      </c>
      <c r="C19" s="173">
        <v>2.5000000000000001E-2</v>
      </c>
      <c r="D19" s="172"/>
      <c r="F19" s="156"/>
      <c r="G19" s="156"/>
      <c r="H19" s="156"/>
      <c r="I19" s="156"/>
      <c r="J19" s="156"/>
      <c r="K19" s="156"/>
      <c r="L19" s="156"/>
    </row>
    <row r="20" spans="1:12" ht="14.25">
      <c r="A20" s="169" t="s">
        <v>168</v>
      </c>
      <c r="B20" s="170" t="s">
        <v>169</v>
      </c>
      <c r="C20" s="173">
        <v>0.03</v>
      </c>
      <c r="D20" s="172"/>
      <c r="F20" s="156"/>
      <c r="G20" s="156"/>
      <c r="H20" s="156"/>
      <c r="I20" s="156"/>
      <c r="J20" s="156"/>
      <c r="K20" s="156"/>
      <c r="L20" s="156"/>
    </row>
    <row r="21" spans="1:12" ht="14.25">
      <c r="A21" s="169" t="s">
        <v>170</v>
      </c>
      <c r="B21" s="170" t="s">
        <v>44</v>
      </c>
      <c r="C21" s="173">
        <v>0.08</v>
      </c>
      <c r="D21" s="174"/>
      <c r="F21" s="156"/>
      <c r="G21" s="156"/>
      <c r="H21" s="156"/>
      <c r="I21" s="156"/>
      <c r="J21" s="156"/>
      <c r="K21" s="156"/>
      <c r="L21" s="156"/>
    </row>
    <row r="22" spans="1:12" ht="15">
      <c r="A22" s="169" t="s">
        <v>171</v>
      </c>
      <c r="B22" s="175" t="s">
        <v>172</v>
      </c>
      <c r="C22" s="176">
        <f>SUM(C14:C21)</f>
        <v>0.36800000000000005</v>
      </c>
      <c r="D22" s="174"/>
      <c r="F22" s="156"/>
      <c r="G22" s="156"/>
      <c r="H22" s="156"/>
      <c r="I22" s="156"/>
      <c r="J22" s="156"/>
      <c r="K22" s="156"/>
      <c r="L22" s="156"/>
    </row>
    <row r="23" spans="1:12" ht="15">
      <c r="A23" s="177"/>
      <c r="B23" s="178"/>
      <c r="C23" s="179"/>
      <c r="D23" s="174"/>
      <c r="F23" s="156"/>
      <c r="G23" s="156"/>
      <c r="H23" s="156"/>
      <c r="I23" s="156"/>
      <c r="J23" s="156"/>
      <c r="K23" s="156"/>
      <c r="L23" s="156"/>
    </row>
    <row r="24" spans="1:12" ht="14.25">
      <c r="A24" s="169" t="s">
        <v>173</v>
      </c>
      <c r="B24" s="180" t="s">
        <v>174</v>
      </c>
      <c r="C24" s="173">
        <f>ROUND(IF('3.CAGED'!C37&gt;24,(1-12/'3.CAGED'!C37)*0.1111,0.1111-C33),4)</f>
        <v>6.2199999999999998E-2</v>
      </c>
      <c r="D24" s="174"/>
      <c r="F24" s="156"/>
      <c r="G24" s="156"/>
      <c r="H24" s="156"/>
      <c r="I24" s="156"/>
      <c r="J24" s="156"/>
      <c r="K24" s="156"/>
      <c r="L24" s="156"/>
    </row>
    <row r="25" spans="1:12" ht="14.25">
      <c r="A25" s="169" t="s">
        <v>175</v>
      </c>
      <c r="B25" s="180" t="s">
        <v>176</v>
      </c>
      <c r="C25" s="173">
        <f>ROUND('3.CAGED'!C31/'3.CAGED'!C28,4)</f>
        <v>8.3299999999999999E-2</v>
      </c>
      <c r="D25" s="174"/>
      <c r="F25" s="156"/>
      <c r="G25" s="156"/>
      <c r="H25" s="156"/>
      <c r="I25" s="156"/>
      <c r="J25" s="156"/>
      <c r="K25" s="156"/>
      <c r="L25" s="156"/>
    </row>
    <row r="26" spans="1:12" ht="14.25">
      <c r="A26" s="169" t="s">
        <v>234</v>
      </c>
      <c r="B26" s="180" t="s">
        <v>178</v>
      </c>
      <c r="C26" s="173">
        <v>5.9999999999999995E-4</v>
      </c>
      <c r="D26" s="174"/>
      <c r="F26" s="156"/>
      <c r="G26" s="156"/>
      <c r="H26" s="156"/>
      <c r="I26" s="156"/>
      <c r="J26" s="156"/>
      <c r="K26" s="156"/>
      <c r="L26" s="156"/>
    </row>
    <row r="27" spans="1:12" ht="14.25">
      <c r="A27" s="169" t="s">
        <v>177</v>
      </c>
      <c r="B27" s="180" t="s">
        <v>180</v>
      </c>
      <c r="C27" s="173">
        <v>8.2000000000000007E-3</v>
      </c>
      <c r="D27" s="174"/>
      <c r="F27" s="156"/>
      <c r="G27" s="156"/>
      <c r="H27" s="156"/>
      <c r="I27" s="156"/>
      <c r="J27" s="156"/>
      <c r="K27" s="156"/>
      <c r="L27" s="156"/>
    </row>
    <row r="28" spans="1:12" ht="14.25">
      <c r="A28" s="169" t="s">
        <v>179</v>
      </c>
      <c r="B28" s="180" t="s">
        <v>182</v>
      </c>
      <c r="C28" s="173">
        <v>2.7699999999999999E-3</v>
      </c>
      <c r="D28" s="174"/>
      <c r="F28" s="156"/>
      <c r="G28" s="156"/>
      <c r="H28" s="156"/>
      <c r="I28" s="156"/>
      <c r="J28" s="156"/>
      <c r="K28" s="156"/>
      <c r="L28" s="156"/>
    </row>
    <row r="29" spans="1:12" ht="14.25">
      <c r="A29" s="169" t="s">
        <v>181</v>
      </c>
      <c r="B29" s="180" t="s">
        <v>183</v>
      </c>
      <c r="C29" s="173">
        <v>1.66E-2</v>
      </c>
      <c r="D29" s="174"/>
      <c r="F29" s="156"/>
      <c r="G29" s="156"/>
      <c r="H29" s="156"/>
      <c r="I29" s="156"/>
      <c r="J29" s="156"/>
      <c r="K29" s="156"/>
      <c r="L29" s="156"/>
    </row>
    <row r="30" spans="1:12" ht="15">
      <c r="A30" s="169" t="s">
        <v>184</v>
      </c>
      <c r="B30" s="175" t="s">
        <v>185</v>
      </c>
      <c r="C30" s="176">
        <f>SUM(C24:C29)</f>
        <v>0.17366999999999999</v>
      </c>
      <c r="D30" s="181"/>
      <c r="F30" s="156"/>
      <c r="G30" s="156"/>
      <c r="H30" s="156"/>
      <c r="I30" s="156"/>
      <c r="J30" s="156"/>
      <c r="K30" s="156"/>
      <c r="L30" s="156"/>
    </row>
    <row r="31" spans="1:12" ht="15">
      <c r="A31" s="177"/>
      <c r="B31" s="178"/>
      <c r="C31" s="179"/>
      <c r="D31" s="181"/>
      <c r="F31" s="156"/>
      <c r="G31" s="156"/>
      <c r="H31" s="156"/>
      <c r="I31" s="156"/>
      <c r="J31" s="156"/>
      <c r="K31" s="156"/>
      <c r="L31" s="156"/>
    </row>
    <row r="32" spans="1:12" ht="14.25">
      <c r="A32" s="169" t="s">
        <v>186</v>
      </c>
      <c r="B32" s="170" t="s">
        <v>187</v>
      </c>
      <c r="C32" s="173">
        <f>ROUND(('3.CAGED'!C36) *'3.CAGED'!C27/'3.CAGED'!C28,4)</f>
        <v>3.6600000000000001E-2</v>
      </c>
      <c r="D32" s="174"/>
      <c r="E32" s="182"/>
      <c r="F32" s="156"/>
      <c r="G32" s="156"/>
      <c r="H32" s="156"/>
      <c r="I32" s="156"/>
      <c r="J32" s="156"/>
      <c r="K32" s="156"/>
      <c r="L32" s="156"/>
    </row>
    <row r="33" spans="1:12" ht="14.25">
      <c r="A33" s="169" t="s">
        <v>233</v>
      </c>
      <c r="B33" s="170" t="s">
        <v>189</v>
      </c>
      <c r="C33" s="173">
        <f>ROUND(IF('3.CAGED'!C37&gt;12,12/'3.CAGED'!C37*0.1111,0.1111),4)</f>
        <v>4.8899999999999999E-2</v>
      </c>
      <c r="D33" s="174"/>
      <c r="F33" s="156"/>
      <c r="G33" s="156"/>
      <c r="H33" s="183"/>
      <c r="I33" s="156"/>
      <c r="J33" s="156"/>
      <c r="K33" s="156"/>
      <c r="L33" s="156"/>
    </row>
    <row r="34" spans="1:12" ht="14.25">
      <c r="A34" s="169" t="s">
        <v>188</v>
      </c>
      <c r="B34" s="170" t="s">
        <v>191</v>
      </c>
      <c r="C34" s="173">
        <f>(ROUND((('3.CAGED'!C30+'3.CAGED'!C29)/ 360)*C32,4))</f>
        <v>4.1000000000000003E-3</v>
      </c>
      <c r="D34" s="174"/>
      <c r="F34" s="156"/>
      <c r="G34" s="156"/>
      <c r="H34" s="156"/>
      <c r="I34" s="156"/>
      <c r="J34" s="156"/>
      <c r="K34" s="156"/>
      <c r="L34" s="156"/>
    </row>
    <row r="35" spans="1:12" ht="14.25">
      <c r="A35" s="169" t="s">
        <v>190</v>
      </c>
      <c r="B35" s="170" t="s">
        <v>193</v>
      </c>
      <c r="C35" s="173">
        <f>ROUND(('3.CAGED'!C28+'3.CAGED'!C29+'3.CAGED'!C31)/'3.CAGED'!C26*'3.CAGED'!C33*'3.CAGED'!C34*'3.CAGED'!C27/'3.CAGED'!C28,4)</f>
        <v>3.6900000000000002E-2</v>
      </c>
      <c r="D35" s="174"/>
      <c r="F35" s="156"/>
      <c r="G35" s="184"/>
      <c r="H35" s="156"/>
      <c r="I35" s="156"/>
      <c r="J35" s="156"/>
      <c r="K35" s="156"/>
      <c r="L35" s="156"/>
    </row>
    <row r="36" spans="1:12" ht="14.25">
      <c r="A36" s="169" t="s">
        <v>192</v>
      </c>
      <c r="B36" s="170" t="s">
        <v>194</v>
      </c>
      <c r="C36" s="173">
        <f>ROUND(('3.CAGED'!C30/'3.CAGED'!C28)*'3.CAGED'!C27/12,4)</f>
        <v>2.5000000000000001E-3</v>
      </c>
      <c r="D36" s="174"/>
      <c r="F36" s="156"/>
      <c r="G36" s="156"/>
      <c r="H36" s="156"/>
      <c r="I36" s="156"/>
      <c r="J36" s="156"/>
      <c r="K36" s="156"/>
      <c r="L36" s="156"/>
    </row>
    <row r="37" spans="1:12" ht="15">
      <c r="A37" s="169" t="s">
        <v>195</v>
      </c>
      <c r="B37" s="175" t="s">
        <v>196</v>
      </c>
      <c r="C37" s="176">
        <f>SUM(C32:C36)</f>
        <v>0.129</v>
      </c>
      <c r="D37" s="181"/>
      <c r="F37" s="156"/>
      <c r="G37" s="156"/>
      <c r="H37" s="156"/>
      <c r="I37" s="156"/>
      <c r="J37" s="156"/>
      <c r="K37" s="156"/>
      <c r="L37" s="156"/>
    </row>
    <row r="38" spans="1:12" ht="15">
      <c r="A38" s="177"/>
      <c r="B38" s="178"/>
      <c r="C38" s="179"/>
      <c r="D38" s="181"/>
      <c r="F38" s="156"/>
      <c r="G38" s="156"/>
      <c r="H38" s="156"/>
      <c r="I38" s="156"/>
      <c r="J38" s="156"/>
      <c r="K38" s="156"/>
      <c r="L38" s="156"/>
    </row>
    <row r="39" spans="1:12" ht="14.25">
      <c r="A39" s="169" t="s">
        <v>197</v>
      </c>
      <c r="B39" s="170" t="s">
        <v>198</v>
      </c>
      <c r="C39" s="173">
        <f>ROUND(C22*C30,4)</f>
        <v>6.3899999999999998E-2</v>
      </c>
      <c r="D39" s="174"/>
      <c r="F39" s="156"/>
      <c r="G39" s="156"/>
      <c r="H39" s="156"/>
      <c r="I39" s="156"/>
      <c r="J39" s="156"/>
      <c r="K39" s="156"/>
      <c r="L39" s="156"/>
    </row>
    <row r="40" spans="1:12" ht="28.5">
      <c r="A40" s="169" t="s">
        <v>199</v>
      </c>
      <c r="B40" s="185" t="s">
        <v>200</v>
      </c>
      <c r="C40" s="173">
        <f>ROUND((C32*C22),4)</f>
        <v>1.35E-2</v>
      </c>
      <c r="D40" s="174"/>
      <c r="F40" s="156"/>
      <c r="G40" s="156"/>
      <c r="H40" s="156"/>
      <c r="I40" s="156"/>
      <c r="J40" s="156"/>
      <c r="K40" s="156"/>
      <c r="L40" s="156"/>
    </row>
    <row r="41" spans="1:12" ht="15">
      <c r="A41" s="169" t="s">
        <v>201</v>
      </c>
      <c r="B41" s="175" t="s">
        <v>202</v>
      </c>
      <c r="C41" s="176">
        <f>SUM(C39:C40)</f>
        <v>7.7399999999999997E-2</v>
      </c>
      <c r="D41" s="186"/>
      <c r="F41" s="156"/>
      <c r="G41" s="156"/>
      <c r="H41" s="156"/>
      <c r="I41" s="156"/>
      <c r="J41" s="156"/>
      <c r="K41" s="156"/>
      <c r="L41" s="156"/>
    </row>
    <row r="42" spans="1:12" ht="15.75" thickBot="1">
      <c r="A42" s="187"/>
      <c r="B42" s="188" t="s">
        <v>203</v>
      </c>
      <c r="C42" s="189">
        <f>C41+C37+C30+C22</f>
        <v>0.74807000000000001</v>
      </c>
      <c r="D42" s="186"/>
      <c r="F42" s="156"/>
      <c r="G42" s="156"/>
      <c r="H42" s="156"/>
      <c r="I42" s="156"/>
      <c r="J42" s="156"/>
      <c r="K42" s="156"/>
      <c r="L42" s="156"/>
    </row>
    <row r="43" spans="1:12" ht="15">
      <c r="A43" s="174"/>
      <c r="B43" s="190"/>
      <c r="C43" s="191"/>
      <c r="D43" s="192"/>
      <c r="F43" s="156"/>
      <c r="G43" s="156"/>
      <c r="H43" s="156"/>
      <c r="I43" s="156"/>
      <c r="J43" s="156"/>
      <c r="K43" s="156"/>
      <c r="L43" s="156"/>
    </row>
    <row r="44" spans="1:12" ht="14.25">
      <c r="A44" s="174"/>
      <c r="B44" s="174"/>
      <c r="C44" s="193"/>
      <c r="D44" s="194"/>
      <c r="F44" s="156"/>
      <c r="G44" s="156"/>
      <c r="H44" s="156"/>
      <c r="I44" s="156"/>
      <c r="J44" s="156"/>
      <c r="K44" s="156"/>
      <c r="L44" s="156"/>
    </row>
    <row r="45" spans="1:12" ht="14.25">
      <c r="A45" s="172"/>
      <c r="B45" s="172"/>
      <c r="C45" s="195"/>
      <c r="D45" s="172"/>
      <c r="F45" s="156"/>
      <c r="G45" s="156"/>
      <c r="H45" s="156"/>
      <c r="I45" s="156"/>
      <c r="J45" s="156"/>
      <c r="K45" s="156"/>
      <c r="L45" s="156"/>
    </row>
    <row r="46" spans="1:12" ht="14.25">
      <c r="A46" s="172"/>
      <c r="B46" s="172"/>
      <c r="C46" s="195"/>
      <c r="D46" s="172"/>
      <c r="F46" s="156"/>
      <c r="G46" s="156"/>
      <c r="H46" s="156"/>
      <c r="I46" s="156"/>
      <c r="J46" s="156"/>
      <c r="K46" s="156"/>
      <c r="L46" s="156"/>
    </row>
    <row r="47" spans="1:12" ht="14.25">
      <c r="A47" s="172"/>
      <c r="B47" s="172"/>
      <c r="C47" s="195"/>
      <c r="D47" s="172"/>
      <c r="F47" s="156"/>
      <c r="G47" s="156"/>
      <c r="H47" s="156"/>
      <c r="I47" s="156"/>
      <c r="J47" s="156"/>
      <c r="K47" s="156"/>
      <c r="L47" s="156"/>
    </row>
    <row r="48" spans="1:12" ht="15">
      <c r="A48" s="172"/>
      <c r="B48" s="196"/>
      <c r="C48" s="197"/>
      <c r="D48" s="172"/>
      <c r="F48" s="156"/>
      <c r="G48" s="156"/>
      <c r="H48" s="156"/>
      <c r="I48" s="156"/>
      <c r="J48" s="156"/>
      <c r="K48" s="156"/>
      <c r="L48" s="156"/>
    </row>
    <row r="49" spans="1:12" ht="15">
      <c r="A49" s="186"/>
      <c r="B49" s="196"/>
      <c r="C49" s="197"/>
      <c r="D49" s="186"/>
      <c r="E49" s="156"/>
      <c r="F49" s="156"/>
      <c r="G49" s="156"/>
      <c r="H49" s="156"/>
      <c r="I49" s="156"/>
      <c r="J49" s="156"/>
      <c r="K49" s="156"/>
      <c r="L49" s="156"/>
    </row>
    <row r="50" spans="1:12" ht="16.5">
      <c r="A50" s="198"/>
      <c r="B50" s="156"/>
      <c r="C50" s="156"/>
      <c r="E50" s="156"/>
      <c r="F50" s="156"/>
      <c r="G50" s="156"/>
      <c r="H50" s="156"/>
      <c r="I50" s="156"/>
      <c r="J50" s="156"/>
      <c r="K50" s="156"/>
      <c r="L50" s="156"/>
    </row>
    <row r="51" spans="1:12">
      <c r="A51" s="199"/>
      <c r="B51" s="200"/>
      <c r="C51" s="200"/>
      <c r="E51" s="156"/>
      <c r="F51" s="156"/>
      <c r="G51" s="156"/>
      <c r="H51" s="156"/>
      <c r="I51" s="156"/>
      <c r="J51" s="156"/>
      <c r="K51" s="156"/>
      <c r="L51" s="156"/>
    </row>
    <row r="52" spans="1:12" ht="14.25">
      <c r="A52" s="172"/>
      <c r="B52" s="201"/>
      <c r="C52" s="200"/>
      <c r="E52" s="156"/>
      <c r="F52" s="156"/>
      <c r="G52" s="156"/>
      <c r="H52" s="156"/>
      <c r="I52" s="156"/>
      <c r="J52" s="156"/>
      <c r="K52" s="156"/>
      <c r="L52" s="156"/>
    </row>
    <row r="53" spans="1:12" ht="14.25">
      <c r="A53" s="172"/>
      <c r="B53" s="201"/>
      <c r="C53" s="172"/>
      <c r="E53" s="156"/>
      <c r="F53" s="156"/>
      <c r="G53" s="156"/>
      <c r="H53" s="156"/>
      <c r="I53" s="156"/>
      <c r="J53" s="156"/>
      <c r="K53" s="156"/>
      <c r="L53" s="156"/>
    </row>
    <row r="54" spans="1:12" ht="14.25">
      <c r="A54" s="172"/>
      <c r="B54" s="195"/>
      <c r="C54" s="200"/>
      <c r="E54" s="156"/>
      <c r="F54" s="156"/>
      <c r="G54" s="156"/>
      <c r="H54" s="156"/>
      <c r="I54" s="156"/>
      <c r="J54" s="156"/>
      <c r="K54" s="156"/>
      <c r="L54" s="156"/>
    </row>
    <row r="55" spans="1:12" ht="14.25">
      <c r="A55" s="172"/>
      <c r="B55" s="201"/>
      <c r="C55" s="172"/>
      <c r="E55" s="156"/>
      <c r="F55" s="156"/>
      <c r="G55" s="156"/>
      <c r="H55" s="156"/>
      <c r="I55" s="156"/>
      <c r="J55" s="156"/>
      <c r="K55" s="156"/>
      <c r="L55" s="156"/>
    </row>
    <row r="56" spans="1:12" ht="14.25">
      <c r="A56" s="172"/>
      <c r="B56" s="195"/>
      <c r="C56" s="200"/>
      <c r="E56" s="156"/>
      <c r="F56" s="156"/>
      <c r="G56" s="156"/>
      <c r="H56" s="156"/>
      <c r="I56" s="156"/>
      <c r="J56" s="156"/>
      <c r="K56" s="156"/>
      <c r="L56" s="156"/>
    </row>
    <row r="57" spans="1:12" ht="14.25">
      <c r="A57" s="172"/>
      <c r="B57" s="201"/>
      <c r="C57" s="172"/>
      <c r="E57" s="156"/>
      <c r="F57" s="156"/>
      <c r="G57" s="156"/>
      <c r="H57" s="156"/>
      <c r="I57" s="156"/>
      <c r="J57" s="156"/>
      <c r="K57" s="156"/>
      <c r="L57" s="156"/>
    </row>
    <row r="58" spans="1:12" ht="14.25">
      <c r="A58" s="172"/>
      <c r="B58" s="195"/>
      <c r="C58" s="200"/>
      <c r="E58" s="156"/>
      <c r="F58" s="156"/>
      <c r="G58" s="156"/>
      <c r="H58" s="156"/>
      <c r="I58" s="156"/>
      <c r="J58" s="156"/>
      <c r="K58" s="156"/>
      <c r="L58" s="156"/>
    </row>
    <row r="59" spans="1:12" ht="14.25">
      <c r="A59" s="172"/>
      <c r="B59" s="201"/>
      <c r="C59" s="172"/>
      <c r="E59" s="156"/>
      <c r="F59" s="156"/>
      <c r="G59" s="156"/>
      <c r="H59" s="156"/>
      <c r="I59" s="156"/>
      <c r="J59" s="156"/>
      <c r="K59" s="156"/>
      <c r="L59" s="156"/>
    </row>
    <row r="60" spans="1:12" ht="14.25">
      <c r="A60" s="172"/>
      <c r="B60" s="195"/>
      <c r="C60" s="200"/>
      <c r="E60" s="156"/>
      <c r="F60" s="156"/>
      <c r="G60" s="156"/>
      <c r="H60" s="156"/>
      <c r="I60" s="156"/>
      <c r="J60" s="156"/>
      <c r="K60" s="156"/>
      <c r="L60" s="156"/>
    </row>
    <row r="61" spans="1:12" ht="16.5">
      <c r="A61" s="198"/>
      <c r="B61" s="156"/>
      <c r="C61" s="156"/>
      <c r="E61" s="156"/>
      <c r="F61" s="156"/>
      <c r="G61" s="156"/>
      <c r="H61" s="156"/>
      <c r="I61" s="156"/>
      <c r="J61" s="156"/>
      <c r="K61" s="156"/>
      <c r="L61" s="156"/>
    </row>
    <row r="62" spans="1:12">
      <c r="A62" s="156"/>
      <c r="B62" s="156"/>
      <c r="C62" s="156"/>
      <c r="E62" s="156"/>
      <c r="F62" s="156"/>
      <c r="G62" s="156"/>
      <c r="H62" s="156"/>
      <c r="I62" s="156"/>
      <c r="J62" s="156"/>
      <c r="K62" s="156"/>
      <c r="L62" s="156"/>
    </row>
    <row r="63" spans="1:12">
      <c r="A63" s="156"/>
      <c r="B63" s="156"/>
      <c r="C63" s="156"/>
      <c r="E63" s="156"/>
      <c r="F63" s="156"/>
      <c r="G63" s="156"/>
      <c r="H63" s="156"/>
      <c r="I63" s="156"/>
      <c r="J63" s="156"/>
      <c r="K63" s="156"/>
      <c r="L63" s="156"/>
    </row>
    <row r="64" spans="1:12">
      <c r="A64" s="202"/>
      <c r="B64" s="156"/>
      <c r="C64" s="156"/>
      <c r="E64" s="156"/>
      <c r="F64" s="156"/>
      <c r="G64" s="156"/>
      <c r="H64" s="156"/>
      <c r="I64" s="156"/>
      <c r="J64" s="156"/>
      <c r="K64" s="156"/>
      <c r="L64" s="156"/>
    </row>
    <row r="65" spans="1:5">
      <c r="A65" s="156"/>
      <c r="B65" s="156"/>
      <c r="C65" s="156"/>
      <c r="E65" s="156"/>
    </row>
    <row r="66" spans="1:5">
      <c r="A66" s="156"/>
      <c r="B66" s="156"/>
      <c r="C66" s="156"/>
      <c r="E66" s="156"/>
    </row>
    <row r="67" spans="1:5">
      <c r="A67" s="156"/>
      <c r="B67" s="156"/>
      <c r="C67" s="156"/>
      <c r="E67" s="156"/>
    </row>
    <row r="68" spans="1:5">
      <c r="A68" s="156"/>
      <c r="B68" s="156"/>
      <c r="C68" s="156"/>
      <c r="E68" s="156"/>
    </row>
    <row r="69" spans="1:5">
      <c r="A69" s="156"/>
      <c r="B69" s="156"/>
      <c r="C69" s="156"/>
      <c r="E69" s="156"/>
    </row>
    <row r="70" spans="1:5">
      <c r="A70" s="156"/>
      <c r="B70" s="156"/>
      <c r="C70" s="156"/>
      <c r="E70" s="156"/>
    </row>
    <row r="71" spans="1:5">
      <c r="A71" s="156"/>
      <c r="B71" s="156"/>
      <c r="C71" s="156"/>
      <c r="E71" s="156"/>
    </row>
    <row r="72" spans="1:5">
      <c r="A72" s="156"/>
      <c r="B72" s="156"/>
      <c r="C72" s="156"/>
      <c r="E72" s="156"/>
    </row>
    <row r="73" spans="1:5">
      <c r="A73" s="156"/>
      <c r="B73" s="156"/>
      <c r="C73" s="156"/>
      <c r="E73" s="156"/>
    </row>
  </sheetData>
  <mergeCells count="5">
    <mergeCell ref="A12:C12"/>
    <mergeCell ref="A4:C7"/>
    <mergeCell ref="B8:C8"/>
    <mergeCell ref="B9:C9"/>
    <mergeCell ref="B10:C10"/>
  </mergeCells>
  <pageMargins left="0.90551181102362199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opLeftCell="A10" zoomScaleNormal="100" workbookViewId="0">
      <selection activeCell="C37" sqref="A1:C37"/>
    </sheetView>
  </sheetViews>
  <sheetFormatPr defaultRowHeight="12.75"/>
  <cols>
    <col min="1" max="1" width="14.8554687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6" width="14.42578125" style="1" customWidth="1"/>
    <col min="7" max="7" width="12.7109375" style="1" customWidth="1"/>
    <col min="8" max="8" width="4.42578125" style="1" customWidth="1"/>
    <col min="9" max="9" width="6.85546875" style="1" customWidth="1"/>
    <col min="10" max="10" width="3.28515625" style="1" customWidth="1"/>
    <col min="11" max="11" width="12" style="1" bestFit="1" customWidth="1"/>
    <col min="12" max="16384" width="9.140625" style="1"/>
  </cols>
  <sheetData>
    <row r="1" spans="1:3">
      <c r="A1" s="319"/>
      <c r="B1" s="319"/>
      <c r="C1" s="319"/>
    </row>
    <row r="2" spans="1:3">
      <c r="A2" s="319"/>
      <c r="B2" s="319"/>
      <c r="C2" s="319"/>
    </row>
    <row r="3" spans="1:3">
      <c r="A3" s="319"/>
      <c r="B3" s="319"/>
      <c r="C3" s="319"/>
    </row>
    <row r="4" spans="1:3" ht="51.75" customHeight="1">
      <c r="A4" s="319"/>
      <c r="B4" s="319"/>
      <c r="C4" s="319"/>
    </row>
    <row r="5" spans="1:3" ht="25.5" customHeight="1">
      <c r="A5" s="11" t="s">
        <v>302</v>
      </c>
      <c r="B5" s="316" t="s">
        <v>303</v>
      </c>
      <c r="C5" s="316"/>
    </row>
    <row r="6" spans="1:3">
      <c r="A6" s="286" t="s">
        <v>305</v>
      </c>
      <c r="B6" s="317" t="s">
        <v>306</v>
      </c>
      <c r="C6" s="317"/>
    </row>
    <row r="7" spans="1:3" ht="26.25" customHeight="1">
      <c r="A7" s="9" t="s">
        <v>304</v>
      </c>
      <c r="B7" s="318" t="s">
        <v>307</v>
      </c>
      <c r="C7" s="318"/>
    </row>
    <row r="8" spans="1:3" ht="13.5" thickBot="1"/>
    <row r="9" spans="1:3" ht="18">
      <c r="B9" s="339" t="s">
        <v>244</v>
      </c>
      <c r="C9" s="340"/>
    </row>
    <row r="10" spans="1:3" ht="15">
      <c r="A10" s="156"/>
      <c r="B10" s="155" t="s">
        <v>218</v>
      </c>
      <c r="C10" s="203"/>
    </row>
    <row r="11" spans="1:3" ht="15">
      <c r="A11" s="156"/>
      <c r="B11" s="157" t="s">
        <v>135</v>
      </c>
      <c r="C11" s="158">
        <v>1928</v>
      </c>
    </row>
    <row r="12" spans="1:3" ht="15">
      <c r="A12" s="156"/>
      <c r="B12" s="159" t="s">
        <v>136</v>
      </c>
      <c r="C12" s="158">
        <v>2697</v>
      </c>
    </row>
    <row r="13" spans="1:3" ht="14.25">
      <c r="A13" s="156"/>
      <c r="B13" s="204" t="s">
        <v>137</v>
      </c>
      <c r="C13" s="205">
        <v>117</v>
      </c>
    </row>
    <row r="14" spans="1:3" ht="14.25">
      <c r="A14" s="156"/>
      <c r="B14" s="204" t="s">
        <v>138</v>
      </c>
      <c r="C14" s="205">
        <v>1921</v>
      </c>
    </row>
    <row r="15" spans="1:3" ht="14.25">
      <c r="A15" s="156"/>
      <c r="B15" s="204" t="s">
        <v>139</v>
      </c>
      <c r="C15" s="205">
        <v>320</v>
      </c>
    </row>
    <row r="16" spans="1:3" ht="14.25">
      <c r="A16" s="156"/>
      <c r="B16" s="204" t="s">
        <v>140</v>
      </c>
      <c r="C16" s="205">
        <v>22</v>
      </c>
    </row>
    <row r="17" spans="1:7" ht="14.25">
      <c r="A17" s="156"/>
      <c r="B17" s="204" t="s">
        <v>141</v>
      </c>
      <c r="C17" s="205">
        <v>278</v>
      </c>
    </row>
    <row r="18" spans="1:7" ht="14.25">
      <c r="A18" s="156"/>
      <c r="B18" s="204" t="s">
        <v>142</v>
      </c>
      <c r="C18" s="205">
        <v>0</v>
      </c>
    </row>
    <row r="19" spans="1:7" ht="14.25">
      <c r="A19" s="156"/>
      <c r="B19" s="204" t="s">
        <v>143</v>
      </c>
      <c r="C19" s="205">
        <v>29</v>
      </c>
    </row>
    <row r="20" spans="1:7" ht="14.25">
      <c r="A20" s="156"/>
      <c r="B20" s="206" t="s">
        <v>144</v>
      </c>
      <c r="C20" s="207">
        <v>0</v>
      </c>
    </row>
    <row r="21" spans="1:7" ht="15">
      <c r="A21" s="156" t="s">
        <v>145</v>
      </c>
      <c r="B21" s="155" t="s">
        <v>146</v>
      </c>
      <c r="C21" s="203"/>
    </row>
    <row r="22" spans="1:7" ht="14.25">
      <c r="A22" s="156"/>
      <c r="B22" s="208" t="s">
        <v>299</v>
      </c>
      <c r="C22" s="209">
        <v>5637</v>
      </c>
    </row>
    <row r="23" spans="1:7" ht="14.25">
      <c r="A23" s="156"/>
      <c r="B23" s="204" t="s">
        <v>300</v>
      </c>
      <c r="C23" s="205">
        <v>4868</v>
      </c>
    </row>
    <row r="24" spans="1:7" ht="14.25">
      <c r="B24" s="204" t="s">
        <v>301</v>
      </c>
      <c r="C24" s="205">
        <f>C23-C22</f>
        <v>-769</v>
      </c>
    </row>
    <row r="25" spans="1:7" ht="14.25">
      <c r="B25" s="210"/>
      <c r="C25" s="211"/>
    </row>
    <row r="26" spans="1:7" ht="15">
      <c r="B26" s="160" t="s">
        <v>147</v>
      </c>
      <c r="C26" s="279">
        <f>MEDIAN(C11,C12)/MEDIAN(C22,C23)</f>
        <v>0.44026653974297952</v>
      </c>
      <c r="G26" s="1">
        <f>12/C26</f>
        <v>27.256216216216217</v>
      </c>
    </row>
    <row r="27" spans="1:7" ht="15">
      <c r="B27" s="157" t="s">
        <v>148</v>
      </c>
      <c r="C27" s="279">
        <f>C14/MEDIAN(C22,C23)</f>
        <v>0.36573060447405997</v>
      </c>
    </row>
    <row r="28" spans="1:7" ht="15">
      <c r="B28" s="162" t="s">
        <v>149</v>
      </c>
      <c r="C28" s="161">
        <v>360</v>
      </c>
    </row>
    <row r="29" spans="1:7" ht="15">
      <c r="B29" s="157" t="s">
        <v>258</v>
      </c>
      <c r="C29" s="161">
        <v>10</v>
      </c>
    </row>
    <row r="30" spans="1:7" ht="15">
      <c r="B30" s="157" t="s">
        <v>259</v>
      </c>
      <c r="C30" s="161">
        <v>30</v>
      </c>
      <c r="G30" s="1">
        <f>TRUNC(G35)</f>
        <v>3</v>
      </c>
    </row>
    <row r="31" spans="1:7" ht="15">
      <c r="B31" s="157" t="s">
        <v>260</v>
      </c>
      <c r="C31" s="161">
        <v>30</v>
      </c>
    </row>
    <row r="32" spans="1:7" s="108" customFormat="1" ht="15">
      <c r="B32" s="157" t="s">
        <v>150</v>
      </c>
      <c r="C32" s="212">
        <f>MEDIAN(C22,C23)</f>
        <v>5252.5</v>
      </c>
    </row>
    <row r="33" spans="2:11" s="108" customFormat="1" ht="15">
      <c r="B33" s="157" t="s">
        <v>44</v>
      </c>
      <c r="C33" s="213">
        <v>0.08</v>
      </c>
      <c r="K33" s="108">
        <f>IF(C37&gt;12,C37-12,C37)</f>
        <v>15.2562</v>
      </c>
    </row>
    <row r="34" spans="2:11" s="108" customFormat="1" ht="15">
      <c r="B34" s="157" t="s">
        <v>151</v>
      </c>
      <c r="C34" s="213">
        <v>0.5</v>
      </c>
      <c r="K34" s="108" t="e">
        <f>IF(#REF!&gt;12,#REF!-12,#REF!)</f>
        <v>#REF!</v>
      </c>
    </row>
    <row r="35" spans="2:11" s="108" customFormat="1" ht="15">
      <c r="B35" s="157" t="s">
        <v>152</v>
      </c>
      <c r="C35" s="280">
        <f>((1/C26)-TRUNC(E35))</f>
        <v>0.27135135135135124</v>
      </c>
      <c r="D35" s="108">
        <f>TRUNC(E35)</f>
        <v>2</v>
      </c>
      <c r="E35" s="108">
        <f>1/C26</f>
        <v>2.2713513513513512</v>
      </c>
      <c r="F35" s="108">
        <f>((1/C26)-TRUNC(E35))</f>
        <v>0.27135135135135124</v>
      </c>
      <c r="G35" s="108">
        <f>12*F35</f>
        <v>3.2562162162162149</v>
      </c>
      <c r="K35" s="108" t="e">
        <f>IF(#REF!&gt;12,#REF!-12,#REF!)</f>
        <v>#REF!</v>
      </c>
    </row>
    <row r="36" spans="2:11" s="108" customFormat="1" ht="15">
      <c r="B36" s="155" t="s">
        <v>153</v>
      </c>
      <c r="C36" s="163">
        <f>30+D36</f>
        <v>36</v>
      </c>
      <c r="D36" s="108">
        <f>3*D35</f>
        <v>6</v>
      </c>
      <c r="G36" s="108">
        <f>G35/12*40/360</f>
        <v>3.0150150150150139E-2</v>
      </c>
      <c r="K36" s="108" t="e">
        <f>IF(#REF!&gt;12,#REF!-12,#REF!)</f>
        <v>#REF!</v>
      </c>
    </row>
    <row r="37" spans="2:11" s="108" customFormat="1" ht="15.75" thickBot="1">
      <c r="B37" s="164" t="s">
        <v>262</v>
      </c>
      <c r="C37" s="281">
        <v>27.2562</v>
      </c>
      <c r="K37" s="108" t="e">
        <f>IF(#REF!&gt;12,#REF!-12,#REF!)</f>
        <v>#REF!</v>
      </c>
    </row>
    <row r="38" spans="2:11">
      <c r="K38" s="1" t="e">
        <f t="shared" ref="K38:K39" si="0">IF(K37&gt;12,K37-12,K37)</f>
        <v>#REF!</v>
      </c>
    </row>
    <row r="39" spans="2:11">
      <c r="K39" s="1" t="e">
        <f t="shared" si="0"/>
        <v>#REF!</v>
      </c>
    </row>
  </sheetData>
  <mergeCells count="5">
    <mergeCell ref="B9:C9"/>
    <mergeCell ref="A1:C4"/>
    <mergeCell ref="B5:C5"/>
    <mergeCell ref="B6:C6"/>
    <mergeCell ref="B7:C7"/>
  </mergeCells>
  <pageMargins left="0.90551181102362199" right="0.5118110236220472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zoomScaleNormal="100" workbookViewId="0">
      <selection activeCell="H19" sqref="H19"/>
    </sheetView>
  </sheetViews>
  <sheetFormatPr defaultRowHeight="12.75"/>
  <cols>
    <col min="1" max="1" width="36.7109375" customWidth="1"/>
    <col min="2" max="2" width="5.5703125" bestFit="1" customWidth="1"/>
    <col min="3" max="3" width="11.42578125" customWidth="1"/>
    <col min="4" max="4" width="10.42578125" customWidth="1"/>
    <col min="5" max="5" width="10.85546875" style="122" customWidth="1"/>
    <col min="6" max="6" width="15.7109375" customWidth="1"/>
  </cols>
  <sheetData>
    <row r="1" spans="1:8" s="145" customFormat="1" ht="14.25">
      <c r="A1" s="319"/>
      <c r="B1" s="319"/>
      <c r="C1" s="319"/>
      <c r="D1" s="319"/>
      <c r="E1" s="319"/>
      <c r="F1" s="319"/>
    </row>
    <row r="2" spans="1:8" s="145" customFormat="1" ht="14.25">
      <c r="A2" s="319"/>
      <c r="B2" s="319"/>
      <c r="C2" s="319"/>
      <c r="D2" s="319"/>
      <c r="E2" s="319"/>
      <c r="F2" s="319"/>
    </row>
    <row r="3" spans="1:8" s="145" customFormat="1" ht="14.25">
      <c r="A3" s="319"/>
      <c r="B3" s="319"/>
      <c r="C3" s="319"/>
      <c r="D3" s="319"/>
      <c r="E3" s="319"/>
      <c r="F3" s="319"/>
    </row>
    <row r="4" spans="1:8" s="145" customFormat="1" ht="42" customHeight="1">
      <c r="A4" s="319"/>
      <c r="B4" s="319"/>
      <c r="C4" s="319"/>
      <c r="D4" s="319"/>
      <c r="E4" s="319"/>
      <c r="F4" s="319"/>
    </row>
    <row r="5" spans="1:8" s="145" customFormat="1" ht="14.25">
      <c r="A5" s="11" t="s">
        <v>302</v>
      </c>
      <c r="B5" s="316" t="s">
        <v>303</v>
      </c>
      <c r="C5" s="316"/>
      <c r="D5" s="316"/>
      <c r="E5" s="316"/>
      <c r="F5" s="316"/>
    </row>
    <row r="6" spans="1:8" s="145" customFormat="1" ht="14.25">
      <c r="A6" s="286" t="s">
        <v>305</v>
      </c>
      <c r="B6" s="317" t="s">
        <v>306</v>
      </c>
      <c r="C6" s="317"/>
      <c r="D6" s="317"/>
      <c r="E6" s="317"/>
      <c r="F6" s="317"/>
    </row>
    <row r="7" spans="1:8" s="145" customFormat="1" ht="14.25">
      <c r="A7" s="9" t="s">
        <v>304</v>
      </c>
      <c r="B7" s="318" t="s">
        <v>307</v>
      </c>
      <c r="C7" s="318"/>
      <c r="D7" s="318"/>
      <c r="E7" s="318"/>
      <c r="F7" s="318"/>
    </row>
    <row r="8" spans="1:8" s="145" customFormat="1" ht="15" thickBot="1">
      <c r="B8" s="143"/>
      <c r="C8" s="143"/>
      <c r="E8" s="146"/>
    </row>
    <row r="9" spans="1:8" ht="15.75">
      <c r="A9" s="346" t="s">
        <v>245</v>
      </c>
      <c r="B9" s="347"/>
      <c r="C9" s="347"/>
      <c r="D9" s="347"/>
      <c r="E9" s="347"/>
      <c r="F9" s="348"/>
    </row>
    <row r="10" spans="1:8" ht="16.5" thickBot="1">
      <c r="A10" s="264"/>
      <c r="B10" s="265"/>
      <c r="C10" s="265"/>
      <c r="D10" s="265"/>
      <c r="E10" s="265"/>
      <c r="F10" s="266"/>
    </row>
    <row r="11" spans="1:8" ht="15">
      <c r="A11" s="214"/>
      <c r="B11" s="144"/>
      <c r="C11" s="144"/>
      <c r="D11" s="343" t="s">
        <v>261</v>
      </c>
      <c r="E11" s="344"/>
      <c r="F11" s="345"/>
      <c r="G11" s="145"/>
      <c r="H11" s="145"/>
    </row>
    <row r="12" spans="1:8" ht="15" thickBot="1">
      <c r="A12" s="210"/>
      <c r="B12" s="215"/>
      <c r="C12" s="215"/>
      <c r="D12" s="216" t="s">
        <v>204</v>
      </c>
      <c r="E12" s="217" t="s">
        <v>205</v>
      </c>
      <c r="F12" s="218" t="s">
        <v>206</v>
      </c>
      <c r="G12" s="145"/>
      <c r="H12" s="145"/>
    </row>
    <row r="13" spans="1:8" ht="14.25">
      <c r="A13" s="219" t="s">
        <v>80</v>
      </c>
      <c r="B13" s="220" t="s">
        <v>81</v>
      </c>
      <c r="C13" s="221">
        <v>5.0799999999999998E-2</v>
      </c>
      <c r="D13" s="242">
        <v>2.9700000000000001E-2</v>
      </c>
      <c r="E13" s="243">
        <v>5.0799999999999998E-2</v>
      </c>
      <c r="F13" s="244">
        <v>6.2700000000000006E-2</v>
      </c>
      <c r="G13" s="145"/>
      <c r="H13" s="145"/>
    </row>
    <row r="14" spans="1:8" ht="14.25">
      <c r="A14" s="223" t="s">
        <v>82</v>
      </c>
      <c r="B14" s="224" t="s">
        <v>83</v>
      </c>
      <c r="C14" s="225">
        <v>1.3299999999999999E-2</v>
      </c>
      <c r="D14" s="242">
        <f>0.3%+0.56%</f>
        <v>8.6E-3</v>
      </c>
      <c r="E14" s="243">
        <f>0.48%+0.85%</f>
        <v>1.3299999999999999E-2</v>
      </c>
      <c r="F14" s="244">
        <f>0.82%+0.89%</f>
        <v>1.7099999999999997E-2</v>
      </c>
      <c r="G14" s="145"/>
      <c r="H14" s="145"/>
    </row>
    <row r="15" spans="1:8" ht="14.25">
      <c r="A15" s="223" t="s">
        <v>84</v>
      </c>
      <c r="B15" s="224" t="s">
        <v>85</v>
      </c>
      <c r="C15" s="225">
        <v>0.1085</v>
      </c>
      <c r="D15" s="242">
        <v>7.7799999999999994E-2</v>
      </c>
      <c r="E15" s="243">
        <v>0.1085</v>
      </c>
      <c r="F15" s="244">
        <v>0.13550000000000001</v>
      </c>
      <c r="G15" s="145"/>
      <c r="H15" s="145"/>
    </row>
    <row r="16" spans="1:8" ht="14.25">
      <c r="A16" s="223" t="s">
        <v>86</v>
      </c>
      <c r="B16" s="224" t="s">
        <v>87</v>
      </c>
      <c r="C16" s="226">
        <f>(1+E16)^(E17/252)-1</f>
        <v>8.2581077123333735E-4</v>
      </c>
      <c r="D16" s="242" t="s">
        <v>296</v>
      </c>
      <c r="E16" s="227">
        <v>7.1800000000000003E-2</v>
      </c>
      <c r="F16" s="222"/>
      <c r="G16" s="145"/>
      <c r="H16" s="145"/>
    </row>
    <row r="17" spans="1:8" ht="14.25">
      <c r="A17" s="223" t="s">
        <v>88</v>
      </c>
      <c r="B17" s="341" t="s">
        <v>89</v>
      </c>
      <c r="C17" s="225">
        <v>0.03</v>
      </c>
      <c r="D17" s="305" t="s">
        <v>207</v>
      </c>
      <c r="E17" s="228">
        <v>3</v>
      </c>
      <c r="F17" s="229"/>
      <c r="G17" s="145"/>
      <c r="H17" s="145"/>
    </row>
    <row r="18" spans="1:8" ht="15" thickBot="1">
      <c r="A18" s="230" t="s">
        <v>90</v>
      </c>
      <c r="B18" s="342"/>
      <c r="C18" s="231">
        <v>3.6499999999999998E-2</v>
      </c>
      <c r="D18" s="204"/>
      <c r="E18" s="232"/>
      <c r="F18" s="229"/>
      <c r="G18" s="145"/>
      <c r="H18" s="145"/>
    </row>
    <row r="19" spans="1:8" ht="14.25">
      <c r="A19" s="233" t="s">
        <v>91</v>
      </c>
      <c r="B19" s="234"/>
      <c r="C19" s="235"/>
      <c r="D19" s="204"/>
      <c r="E19" s="232"/>
      <c r="F19" s="229"/>
      <c r="G19" s="145"/>
      <c r="H19" s="145"/>
    </row>
    <row r="20" spans="1:8" ht="15" thickBot="1">
      <c r="A20" s="236" t="s">
        <v>92</v>
      </c>
      <c r="B20" s="237"/>
      <c r="C20" s="238"/>
      <c r="D20" s="204"/>
      <c r="E20" s="232"/>
      <c r="F20" s="229"/>
      <c r="G20" s="145"/>
      <c r="H20" s="145"/>
    </row>
    <row r="21" spans="1:8" ht="15.75" thickBot="1">
      <c r="A21" s="239" t="s">
        <v>93</v>
      </c>
      <c r="B21" s="240"/>
      <c r="C21" s="241">
        <f>ROUND((((1+C13+C14)*(1+C15)*(1+C16))/(1-(C17+C18))-1),4)</f>
        <v>0.2646</v>
      </c>
      <c r="D21" s="245">
        <v>0.21429999999999999</v>
      </c>
      <c r="E21" s="246">
        <v>0.2717</v>
      </c>
      <c r="F21" s="247">
        <v>0.3362</v>
      </c>
      <c r="G21" s="145"/>
      <c r="H21" s="145"/>
    </row>
    <row r="22" spans="1:8" ht="14.25">
      <c r="A22" s="145"/>
      <c r="B22" s="145"/>
      <c r="C22" s="145"/>
      <c r="D22" s="145"/>
      <c r="E22" s="146"/>
      <c r="F22" s="145"/>
      <c r="G22" s="145"/>
      <c r="H22" s="145"/>
    </row>
    <row r="23" spans="1:8" ht="14.25">
      <c r="A23" s="145"/>
      <c r="B23" s="145"/>
      <c r="C23" s="145"/>
      <c r="D23" s="145"/>
      <c r="E23" s="146"/>
      <c r="F23" s="145"/>
      <c r="G23" s="145"/>
      <c r="H23" s="145"/>
    </row>
    <row r="24" spans="1:8" ht="14.25">
      <c r="A24" s="145"/>
      <c r="B24" s="145"/>
      <c r="C24" s="145"/>
      <c r="D24" s="145"/>
      <c r="E24" s="146"/>
      <c r="F24" s="145"/>
      <c r="G24" s="145"/>
      <c r="H24" s="145"/>
    </row>
    <row r="25" spans="1:8" ht="14.25">
      <c r="A25" s="145"/>
      <c r="B25" s="145"/>
      <c r="C25" s="145"/>
      <c r="D25" s="145"/>
      <c r="E25" s="146"/>
      <c r="F25" s="145"/>
      <c r="G25" s="145"/>
      <c r="H25" s="145"/>
    </row>
  </sheetData>
  <mergeCells count="7">
    <mergeCell ref="B17:B18"/>
    <mergeCell ref="D11:F11"/>
    <mergeCell ref="A9:F9"/>
    <mergeCell ref="A1:F4"/>
    <mergeCell ref="B5:F5"/>
    <mergeCell ref="B6:F6"/>
    <mergeCell ref="B7:F7"/>
  </mergeCells>
  <pageMargins left="0.90551181102362199" right="0.51181102362204722" top="0.74803149606299213" bottom="0.74803149606299213" header="0.31496062992125984" footer="0.31496062992125984"/>
  <pageSetup paperSize="9" scale="98" fitToHeight="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5"/>
  <sheetViews>
    <sheetView topLeftCell="A23" workbookViewId="0">
      <selection sqref="A1:C25"/>
    </sheetView>
  </sheetViews>
  <sheetFormatPr defaultRowHeight="19.5" customHeight="1"/>
  <cols>
    <col min="1" max="1" width="17.7109375" style="1" customWidth="1"/>
    <col min="2" max="2" width="50.7109375" style="1" customWidth="1"/>
    <col min="3" max="3" width="0.42578125" style="1" customWidth="1"/>
    <col min="4" max="16384" width="9.140625" style="1"/>
  </cols>
  <sheetData>
    <row r="1" spans="1:3" ht="19.5" customHeight="1">
      <c r="A1" s="319"/>
      <c r="B1" s="319"/>
      <c r="C1" s="319"/>
    </row>
    <row r="2" spans="1:3" ht="19.5" customHeight="1">
      <c r="A2" s="319"/>
      <c r="B2" s="319"/>
      <c r="C2" s="319"/>
    </row>
    <row r="3" spans="1:3" ht="19.5" customHeight="1">
      <c r="A3" s="319"/>
      <c r="B3" s="319"/>
      <c r="C3" s="319"/>
    </row>
    <row r="4" spans="1:3" ht="19.5" customHeight="1">
      <c r="A4" s="319"/>
      <c r="B4" s="319"/>
      <c r="C4" s="319"/>
    </row>
    <row r="5" spans="1:3" ht="19.5" customHeight="1">
      <c r="A5" s="11" t="s">
        <v>302</v>
      </c>
      <c r="B5" s="316" t="s">
        <v>303</v>
      </c>
      <c r="C5" s="316"/>
    </row>
    <row r="6" spans="1:3" ht="19.5" customHeight="1">
      <c r="A6" s="286" t="s">
        <v>305</v>
      </c>
      <c r="B6" s="317" t="s">
        <v>306</v>
      </c>
      <c r="C6" s="317"/>
    </row>
    <row r="7" spans="1:3" ht="19.5" customHeight="1">
      <c r="A7" s="9" t="s">
        <v>304</v>
      </c>
      <c r="B7" s="318" t="s">
        <v>307</v>
      </c>
      <c r="C7" s="318"/>
    </row>
    <row r="8" spans="1:3" ht="19.5" customHeight="1" thickBot="1"/>
    <row r="9" spans="1:3" ht="19.5" customHeight="1" thickBot="1">
      <c r="A9" s="349" t="s">
        <v>247</v>
      </c>
      <c r="B9" s="350"/>
    </row>
    <row r="10" spans="1:3" s="108" customFormat="1" ht="39.75" customHeight="1">
      <c r="A10" s="310" t="s">
        <v>219</v>
      </c>
      <c r="B10" s="267" t="s">
        <v>297</v>
      </c>
    </row>
    <row r="11" spans="1:3" ht="19.5" customHeight="1">
      <c r="A11" s="166">
        <v>1</v>
      </c>
      <c r="B11" s="165">
        <v>33.630000000000003</v>
      </c>
    </row>
    <row r="12" spans="1:3" ht="19.5" customHeight="1">
      <c r="A12" s="166">
        <v>2</v>
      </c>
      <c r="B12" s="165">
        <v>43.13</v>
      </c>
    </row>
    <row r="13" spans="1:3" ht="19.5" customHeight="1">
      <c r="A13" s="166">
        <v>3</v>
      </c>
      <c r="B13" s="165">
        <v>48.68</v>
      </c>
    </row>
    <row r="14" spans="1:3" ht="19.5" customHeight="1">
      <c r="A14" s="166">
        <v>4</v>
      </c>
      <c r="B14" s="165">
        <v>52.62</v>
      </c>
    </row>
    <row r="15" spans="1:3" ht="19.5" customHeight="1">
      <c r="A15" s="166">
        <v>5</v>
      </c>
      <c r="B15" s="165">
        <v>55.679999999999993</v>
      </c>
    </row>
    <row r="16" spans="1:3" ht="19.5" customHeight="1">
      <c r="A16" s="166">
        <v>6</v>
      </c>
      <c r="B16" s="165">
        <v>58.18</v>
      </c>
    </row>
    <row r="17" spans="1:2" ht="19.5" customHeight="1">
      <c r="A17" s="166">
        <v>7</v>
      </c>
      <c r="B17" s="165">
        <v>60.29</v>
      </c>
    </row>
    <row r="18" spans="1:2" ht="19.5" customHeight="1">
      <c r="A18" s="166">
        <v>8</v>
      </c>
      <c r="B18" s="165">
        <v>62.12</v>
      </c>
    </row>
    <row r="19" spans="1:2" ht="19.5" customHeight="1">
      <c r="A19" s="166">
        <v>9</v>
      </c>
      <c r="B19" s="165">
        <v>63.73</v>
      </c>
    </row>
    <row r="20" spans="1:2" ht="19.5" customHeight="1">
      <c r="A20" s="166">
        <v>10</v>
      </c>
      <c r="B20" s="165">
        <v>65.180000000000007</v>
      </c>
    </row>
    <row r="21" spans="1:2" ht="19.5" customHeight="1">
      <c r="A21" s="166">
        <v>11</v>
      </c>
      <c r="B21" s="165">
        <v>66.47999999999999</v>
      </c>
    </row>
    <row r="22" spans="1:2" ht="19.5" customHeight="1">
      <c r="A22" s="166">
        <v>12</v>
      </c>
      <c r="B22" s="165">
        <v>67.67</v>
      </c>
    </row>
    <row r="23" spans="1:2" ht="19.5" customHeight="1">
      <c r="A23" s="166">
        <v>13</v>
      </c>
      <c r="B23" s="165">
        <v>68.77</v>
      </c>
    </row>
    <row r="24" spans="1:2" ht="19.5" customHeight="1">
      <c r="A24" s="166">
        <v>14</v>
      </c>
      <c r="B24" s="165">
        <v>69.789999999999992</v>
      </c>
    </row>
    <row r="25" spans="1:2" ht="19.5" customHeight="1" thickBot="1">
      <c r="A25" s="167">
        <v>15</v>
      </c>
      <c r="B25" s="168">
        <v>70.73</v>
      </c>
    </row>
  </sheetData>
  <mergeCells count="5">
    <mergeCell ref="A9:B9"/>
    <mergeCell ref="A1:C4"/>
    <mergeCell ref="B5:C5"/>
    <mergeCell ref="B6:C6"/>
    <mergeCell ref="B7:C7"/>
  </mergeCells>
  <pageMargins left="0.90551181102362199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5"/>
  <sheetViews>
    <sheetView topLeftCell="A7" workbookViewId="0">
      <selection activeCell="D18" sqref="D18"/>
    </sheetView>
  </sheetViews>
  <sheetFormatPr defaultRowHeight="12.75"/>
  <cols>
    <col min="1" max="1" width="14.7109375" style="1" customWidth="1"/>
    <col min="2" max="2" width="70.42578125" style="1" customWidth="1"/>
    <col min="3" max="4" width="9.140625" style="1"/>
    <col min="5" max="5" width="12.85546875" style="1" bestFit="1" customWidth="1"/>
    <col min="6" max="16384" width="9.140625" style="1"/>
  </cols>
  <sheetData>
    <row r="1" spans="1:3">
      <c r="A1" s="319"/>
      <c r="B1" s="319"/>
      <c r="C1" s="9"/>
    </row>
    <row r="2" spans="1:3">
      <c r="A2" s="319"/>
      <c r="B2" s="319"/>
      <c r="C2" s="9"/>
    </row>
    <row r="3" spans="1:3">
      <c r="A3" s="319"/>
      <c r="B3" s="319"/>
      <c r="C3" s="9"/>
    </row>
    <row r="4" spans="1:3" ht="58.5" customHeight="1">
      <c r="A4" s="319"/>
      <c r="B4" s="319"/>
      <c r="C4" s="9"/>
    </row>
    <row r="5" spans="1:3">
      <c r="A5" s="11" t="s">
        <v>302</v>
      </c>
      <c r="B5" s="9" t="s">
        <v>303</v>
      </c>
      <c r="C5" s="9"/>
    </row>
    <row r="6" spans="1:3">
      <c r="A6" s="286" t="s">
        <v>305</v>
      </c>
      <c r="B6" s="7" t="s">
        <v>306</v>
      </c>
      <c r="C6" s="7"/>
    </row>
    <row r="7" spans="1:3">
      <c r="A7" s="9" t="s">
        <v>304</v>
      </c>
      <c r="B7" s="138" t="s">
        <v>307</v>
      </c>
      <c r="C7" s="138"/>
    </row>
    <row r="8" spans="1:3" ht="13.5" thickBot="1"/>
    <row r="9" spans="1:3" ht="18">
      <c r="B9" s="251" t="s">
        <v>251</v>
      </c>
    </row>
    <row r="10" spans="1:3">
      <c r="B10" s="248"/>
    </row>
    <row r="11" spans="1:3">
      <c r="B11" s="248" t="s">
        <v>263</v>
      </c>
    </row>
    <row r="12" spans="1:3">
      <c r="B12" s="248"/>
    </row>
    <row r="13" spans="1:3">
      <c r="B13" s="248"/>
    </row>
    <row r="14" spans="1:3">
      <c r="B14" s="248"/>
    </row>
    <row r="15" spans="1:3">
      <c r="B15" s="248"/>
    </row>
    <row r="16" spans="1:3">
      <c r="B16" s="248"/>
    </row>
    <row r="17" spans="2:2">
      <c r="B17" s="248"/>
    </row>
    <row r="18" spans="2:2">
      <c r="B18" s="248"/>
    </row>
    <row r="19" spans="2:2">
      <c r="B19" s="248"/>
    </row>
    <row r="20" spans="2:2" ht="19.5">
      <c r="B20" s="249" t="s">
        <v>248</v>
      </c>
    </row>
    <row r="21" spans="2:2" ht="15">
      <c r="B21" s="249" t="s">
        <v>118</v>
      </c>
    </row>
    <row r="22" spans="2:2" ht="15">
      <c r="B22" s="249" t="s">
        <v>123</v>
      </c>
    </row>
    <row r="23" spans="2:2" ht="19.5">
      <c r="B23" s="249" t="s">
        <v>249</v>
      </c>
    </row>
    <row r="24" spans="2:2" ht="19.5">
      <c r="B24" s="249" t="s">
        <v>250</v>
      </c>
    </row>
    <row r="25" spans="2:2" ht="15.75" thickBot="1">
      <c r="B25" s="250" t="s">
        <v>119</v>
      </c>
    </row>
  </sheetData>
  <mergeCells count="1">
    <mergeCell ref="A1:B4"/>
  </mergeCells>
  <pageMargins left="0.90551181102362199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topLeftCell="A10" zoomScale="140" zoomScaleNormal="140" workbookViewId="0">
      <selection activeCell="E26" sqref="E26"/>
    </sheetView>
  </sheetViews>
  <sheetFormatPr defaultRowHeight="12.75"/>
  <cols>
    <col min="1" max="1" width="15.7109375" style="278" customWidth="1"/>
    <col min="2" max="2" width="58.28515625" style="278" customWidth="1"/>
    <col min="3" max="3" width="11.140625" style="278" bestFit="1" customWidth="1"/>
    <col min="4" max="4" width="11.28515625" style="278" bestFit="1" customWidth="1"/>
    <col min="5" max="16384" width="9.140625" style="278"/>
  </cols>
  <sheetData>
    <row r="1" spans="1:4">
      <c r="A1" s="319"/>
      <c r="B1" s="319"/>
      <c r="C1" s="319"/>
      <c r="D1" s="319"/>
    </row>
    <row r="2" spans="1:4">
      <c r="A2" s="319"/>
      <c r="B2" s="319"/>
      <c r="C2" s="319"/>
      <c r="D2" s="319"/>
    </row>
    <row r="3" spans="1:4">
      <c r="A3" s="319"/>
      <c r="B3" s="319"/>
      <c r="C3" s="319"/>
      <c r="D3" s="319"/>
    </row>
    <row r="4" spans="1:4" ht="43.5" customHeight="1">
      <c r="A4" s="319"/>
      <c r="B4" s="319"/>
      <c r="C4" s="319"/>
      <c r="D4" s="319"/>
    </row>
    <row r="5" spans="1:4">
      <c r="A5" s="11" t="s">
        <v>302</v>
      </c>
      <c r="B5" s="316" t="s">
        <v>303</v>
      </c>
      <c r="C5" s="316"/>
      <c r="D5" s="316"/>
    </row>
    <row r="6" spans="1:4">
      <c r="A6" s="286" t="s">
        <v>305</v>
      </c>
      <c r="B6" s="317" t="s">
        <v>306</v>
      </c>
      <c r="C6" s="317"/>
      <c r="D6" s="317"/>
    </row>
    <row r="7" spans="1:4">
      <c r="A7" s="9" t="s">
        <v>304</v>
      </c>
      <c r="B7" s="318" t="s">
        <v>307</v>
      </c>
      <c r="C7" s="318"/>
      <c r="D7" s="318"/>
    </row>
    <row r="8" spans="1:4" ht="13.5" thickBot="1">
      <c r="B8" s="311"/>
      <c r="C8" s="311"/>
      <c r="D8" s="311"/>
    </row>
    <row r="9" spans="1:4" ht="18">
      <c r="B9" s="351" t="s">
        <v>293</v>
      </c>
      <c r="C9" s="352"/>
      <c r="D9" s="353"/>
    </row>
    <row r="10" spans="1:4" s="287" customFormat="1" ht="18">
      <c r="B10" s="302"/>
      <c r="C10" s="301"/>
      <c r="D10" s="303"/>
    </row>
    <row r="11" spans="1:4" s="108" customFormat="1" ht="15">
      <c r="B11" s="288" t="s">
        <v>294</v>
      </c>
      <c r="C11" s="289" t="s">
        <v>274</v>
      </c>
      <c r="D11" s="290" t="s">
        <v>156</v>
      </c>
    </row>
    <row r="12" spans="1:4" ht="14.25">
      <c r="B12" s="291" t="s">
        <v>282</v>
      </c>
      <c r="C12" s="292" t="s">
        <v>275</v>
      </c>
      <c r="D12" s="205">
        <v>1895</v>
      </c>
    </row>
    <row r="13" spans="1:4" ht="14.25">
      <c r="B13" s="204" t="s">
        <v>283</v>
      </c>
      <c r="C13" s="293" t="s">
        <v>280</v>
      </c>
      <c r="D13" s="294">
        <v>0.4</v>
      </c>
    </row>
    <row r="14" spans="1:4" ht="14.25">
      <c r="B14" s="204" t="s">
        <v>284</v>
      </c>
      <c r="C14" s="293" t="s">
        <v>281</v>
      </c>
      <c r="D14" s="295">
        <f>D12*D13/1000</f>
        <v>0.75800000000000001</v>
      </c>
    </row>
    <row r="15" spans="1:4" ht="14.25">
      <c r="B15" s="204" t="s">
        <v>290</v>
      </c>
      <c r="C15" s="293" t="s">
        <v>276</v>
      </c>
      <c r="D15" s="296">
        <f>(D14*30)</f>
        <v>22.740000000000002</v>
      </c>
    </row>
    <row r="16" spans="1:4" ht="14.25">
      <c r="B16" s="204" t="s">
        <v>286</v>
      </c>
      <c r="C16" s="293" t="s">
        <v>98</v>
      </c>
      <c r="D16" s="299">
        <v>2</v>
      </c>
    </row>
    <row r="17" spans="2:4" ht="14.25">
      <c r="B17" s="204" t="s">
        <v>285</v>
      </c>
      <c r="C17" s="293" t="s">
        <v>281</v>
      </c>
      <c r="D17" s="295">
        <f>IFERROR(D14*7/D16,0)</f>
        <v>2.653</v>
      </c>
    </row>
    <row r="18" spans="2:4" ht="14.25">
      <c r="B18" s="291" t="s">
        <v>277</v>
      </c>
      <c r="C18" s="293" t="s">
        <v>278</v>
      </c>
      <c r="D18" s="229">
        <v>500</v>
      </c>
    </row>
    <row r="19" spans="2:4" ht="14.25">
      <c r="B19" s="204" t="s">
        <v>291</v>
      </c>
      <c r="C19" s="293"/>
      <c r="D19" s="205">
        <v>1</v>
      </c>
    </row>
    <row r="20" spans="2:4" ht="14.25">
      <c r="B20" s="291" t="s">
        <v>292</v>
      </c>
      <c r="C20" s="293" t="s">
        <v>279</v>
      </c>
      <c r="D20" s="205">
        <v>8</v>
      </c>
    </row>
    <row r="21" spans="2:4" ht="14.25">
      <c r="B21" s="204" t="s">
        <v>287</v>
      </c>
      <c r="C21" s="293" t="s">
        <v>276</v>
      </c>
      <c r="D21" s="229">
        <f>IF(AND(D20&gt;=15,D19=1),5.8,D20/2)</f>
        <v>4</v>
      </c>
    </row>
    <row r="22" spans="2:4" ht="14.25">
      <c r="B22" s="291" t="s">
        <v>288</v>
      </c>
      <c r="C22" s="293"/>
      <c r="D22" s="295">
        <f>IFERROR(D17/D21,0)</f>
        <v>0.66325000000000001</v>
      </c>
    </row>
    <row r="23" spans="2:4" ht="14.25">
      <c r="B23" s="291" t="s">
        <v>295</v>
      </c>
      <c r="C23" s="293"/>
      <c r="D23" s="304">
        <v>1</v>
      </c>
    </row>
    <row r="24" spans="2:4" ht="15" thickBot="1">
      <c r="B24" s="297" t="s">
        <v>289</v>
      </c>
      <c r="C24" s="298"/>
      <c r="D24" s="300">
        <f>IFERROR(D22/D23,0)</f>
        <v>0.66325000000000001</v>
      </c>
    </row>
  </sheetData>
  <mergeCells count="5">
    <mergeCell ref="B7:D7"/>
    <mergeCell ref="B6:D6"/>
    <mergeCell ref="B5:D5"/>
    <mergeCell ref="A1:D4"/>
    <mergeCell ref="B9:D9"/>
  </mergeCells>
  <pageMargins left="0.511811024" right="0.511811024" top="0.78740157499999996" bottom="0.78740157499999996" header="0.31496062000000002" footer="0.31496062000000002"/>
  <pageSetup paperSize="9" scale="9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Setor de Contratos</cp:lastModifiedBy>
  <cp:lastPrinted>2018-12-03T16:30:36Z</cp:lastPrinted>
  <dcterms:created xsi:type="dcterms:W3CDTF">2000-12-13T10:02:50Z</dcterms:created>
  <dcterms:modified xsi:type="dcterms:W3CDTF">2018-12-04T15:18:08Z</dcterms:modified>
</cp:coreProperties>
</file>